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8" yWindow="480" windowWidth="8220" windowHeight="8640" tabRatio="953" activeTab="3"/>
  </bookViews>
  <sheets>
    <sheet name="Immobilisations" sheetId="1" r:id="rId1"/>
    <sheet name="Plan de financement démarrage" sheetId="2" r:id="rId2"/>
    <sheet name="Plan de financement 3 ans" sheetId="3" r:id="rId3"/>
    <sheet name="Détail du Chiffre d'affaires" sheetId="4" r:id="rId4"/>
    <sheet name="Compte de résultat sur 3 ans" sheetId="5" r:id="rId5"/>
    <sheet name="Plan de trésorerie" sheetId="6" r:id="rId6"/>
    <sheet name="EMPRUNT bancaire" sheetId="7" r:id="rId7"/>
    <sheet name="Prêt Plateforme" sheetId="8" r:id="rId8"/>
    <sheet name="Prêt caisse des dépots" sheetId="9" r:id="rId9"/>
  </sheets>
  <externalReferences>
    <externalReference r:id="rId12"/>
    <externalReference r:id="rId13"/>
  </externalReferences>
  <definedNames>
    <definedName name="ADB" localSheetId="1">'[1]9-RESULTAT SUR 3 ANS'!#REF!</definedName>
    <definedName name="ADB" localSheetId="8">'[1]9-RESULTAT SUR 3 ANS'!#REF!</definedName>
    <definedName name="ADB">'[1]9-RESULTAT SUR 3 ANS'!#REF!</definedName>
    <definedName name="DATABASE" localSheetId="1">'[1]11-trésorerie '!#REF!</definedName>
    <definedName name="DATABASE" localSheetId="8">'[1]11-trésorerie '!#REF!</definedName>
    <definedName name="DATABASE">'[1]11-trésorerie '!#REF!</definedName>
    <definedName name="COEF" localSheetId="1">#REF!</definedName>
    <definedName name="COEF" localSheetId="8">#REF!</definedName>
    <definedName name="COEF">#REF!</definedName>
    <definedName name="DUREE" localSheetId="1">#REF!</definedName>
    <definedName name="DUREE" localSheetId="8">#REF!</definedName>
    <definedName name="DUREE">#REF!</definedName>
    <definedName name="MODE" localSheetId="1">#REF!</definedName>
    <definedName name="MODE" localSheetId="8">#REF!</definedName>
    <definedName name="MODE">#REF!</definedName>
    <definedName name="MONTDEB" localSheetId="1">#REF!</definedName>
    <definedName name="MONTDEB" localSheetId="8">#REF!</definedName>
    <definedName name="MONTDEB">#REF!</definedName>
    <definedName name="MONTIMMO">#REF!</definedName>
    <definedName name="NBP">#REF!</definedName>
    <definedName name="tv11">'[1]Variables'!$B$5</definedName>
    <definedName name="tv12">'[2]Variables'!$B$6</definedName>
    <definedName name="tv22">'[2]Variables'!$C$6</definedName>
    <definedName name="vdb" localSheetId="1">'[1]9-RESULTAT SUR 3 ANS'!#REF!</definedName>
    <definedName name="vdb" localSheetId="8">'[1]9-RESULTAT SUR 3 ANS'!#REF!</definedName>
    <definedName name="vdb">'[1]9-RESULTAT SUR 3 ANS'!#REF!</definedName>
    <definedName name="_xlnm.Print_Area" localSheetId="4">'Compte de résultat sur 3 ans'!$A$1:$H$45</definedName>
    <definedName name="_xlnm.Print_Area" localSheetId="3">'Détail du Chiffre d''affaires'!$A$1:$R$42</definedName>
    <definedName name="_xlnm.Print_Area" localSheetId="0">'Immobilisations'!$A$1:$M$32</definedName>
    <definedName name="_xlnm.Print_Area" localSheetId="2">'Plan de financement 3 ans'!$A$1:$H$36</definedName>
    <definedName name="_xlnm.Print_Area" localSheetId="1">'Plan de financement démarrage'!$A$1:$D$34</definedName>
    <definedName name="_xlnm.Print_Area" localSheetId="5">'Plan de trésorerie'!$A$1:$O$45</definedName>
  </definedNames>
  <calcPr fullCalcOnLoad="1"/>
</workbook>
</file>

<file path=xl/comments2.xml><?xml version="1.0" encoding="utf-8"?>
<comments xmlns="http://schemas.openxmlformats.org/spreadsheetml/2006/main">
  <authors>
    <author>pavoyer</author>
  </authors>
  <commentList>
    <comment ref="A30" authorId="0">
      <text>
        <r>
          <rPr>
            <b/>
            <sz val="8"/>
            <rFont val="Tahoma"/>
            <family val="2"/>
          </rPr>
          <t>pavoyer:</t>
        </r>
        <r>
          <rPr>
            <sz val="8"/>
            <rFont val="Tahoma"/>
            <family val="2"/>
          </rPr>
          <t xml:space="preserve">
Immo HT (hors Fi) + stocks HT, TTC</t>
        </r>
      </text>
    </comment>
    <comment ref="C62" authorId="0">
      <text>
        <r>
          <rPr>
            <b/>
            <sz val="9"/>
            <rFont val="Tahoma"/>
            <family val="2"/>
          </rPr>
          <t>pavoyer:</t>
        </r>
        <r>
          <rPr>
            <sz val="9"/>
            <rFont val="Tahoma"/>
            <family val="2"/>
          </rPr>
          <t xml:space="preserve">
pavoyer:
Montant des charges d'exploitation sur les premiers mois d'activité (=durée nécessaire pour obtenir les premiers encaissements pendant laquelle pas d'encaissement) + stock de départ + en-cours + autres besoins du démarrage</t>
        </r>
      </text>
    </comment>
  </commentList>
</comments>
</file>

<file path=xl/sharedStrings.xml><?xml version="1.0" encoding="utf-8"?>
<sst xmlns="http://schemas.openxmlformats.org/spreadsheetml/2006/main" count="379" uniqueCount="247">
  <si>
    <t>BESOINS</t>
  </si>
  <si>
    <t>Immobilisations incorporelles</t>
  </si>
  <si>
    <t>Immobilisations corporelles</t>
  </si>
  <si>
    <t>Immobilisations financières</t>
  </si>
  <si>
    <t>TOTAL DES BESOINS</t>
  </si>
  <si>
    <t>En € TTC</t>
  </si>
  <si>
    <t>Total</t>
  </si>
  <si>
    <t>Chiffre d'affaires encaissé</t>
  </si>
  <si>
    <t>Total des encaissements</t>
  </si>
  <si>
    <t xml:space="preserve">Autre : </t>
  </si>
  <si>
    <t>Apport en nature</t>
  </si>
  <si>
    <t>Compte courant d'associés</t>
  </si>
  <si>
    <t>Montant € HT</t>
  </si>
  <si>
    <t>Montant amort.</t>
  </si>
  <si>
    <t>Durée amort.*</t>
  </si>
  <si>
    <t>* Durée amortissement en année</t>
  </si>
  <si>
    <t>Prêt d'honneur PFI</t>
  </si>
  <si>
    <t>Agefiph</t>
  </si>
  <si>
    <t>Fondation</t>
  </si>
  <si>
    <t>Autres emprunts :</t>
  </si>
  <si>
    <t>Emprunt MT CT</t>
  </si>
  <si>
    <t>Emprunt long terme (LT)</t>
  </si>
  <si>
    <t>Stock de marchandises</t>
  </si>
  <si>
    <t>TVA sur immob. et stocks</t>
  </si>
  <si>
    <t>Disponibilités</t>
  </si>
  <si>
    <t>Crédit relais TVA</t>
  </si>
  <si>
    <t>Remboursement compte courant</t>
  </si>
  <si>
    <t>CHARGES</t>
  </si>
  <si>
    <t>Total achats</t>
  </si>
  <si>
    <t>Total services extérieurs</t>
  </si>
  <si>
    <t>Total autres services extérieurs</t>
  </si>
  <si>
    <t>Total charges de personnel</t>
  </si>
  <si>
    <t>Total autres charges</t>
  </si>
  <si>
    <t>COMPTE DE RESULTAT PREVISIONNEL (HT) sur 3 ans</t>
  </si>
  <si>
    <t xml:space="preserve"> Encaissements TTC</t>
  </si>
  <si>
    <t xml:space="preserve">               PLAN DE TRESORERIE SUR 12 MOIS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</si>
  <si>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</si>
  <si>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</si>
  <si>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</si>
  <si>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</si>
  <si>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</si>
  <si>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</si>
  <si>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</si>
  <si>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</si>
  <si>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</si>
  <si>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</si>
  <si>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</si>
  <si>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</si>
  <si>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Total des décaissements</t>
  </si>
  <si>
    <t>RECETTES HORS EXPLOITATION</t>
  </si>
  <si>
    <t>RECETTES D' EXPLOITATION</t>
  </si>
  <si>
    <t>DEPENSES HORS EXPLOITATION</t>
  </si>
  <si>
    <t>DEPENSES D'EXPLOITATION</t>
  </si>
  <si>
    <t>TVA reversée</t>
  </si>
  <si>
    <t>Description des immobilisations</t>
  </si>
  <si>
    <t>TVA</t>
  </si>
  <si>
    <t>sur achats</t>
  </si>
  <si>
    <t>sur CA</t>
  </si>
  <si>
    <t>Taux</t>
  </si>
  <si>
    <t>Décaissements TTC</t>
  </si>
  <si>
    <t>Quantité</t>
  </si>
  <si>
    <t>Prix HT</t>
  </si>
  <si>
    <t>Total immo. corporelles</t>
  </si>
  <si>
    <t>Total immo. financières</t>
  </si>
  <si>
    <t>Total immo. incorporelles</t>
  </si>
  <si>
    <t xml:space="preserve"> PRODUITS</t>
  </si>
  <si>
    <t xml:space="preserve"> Produit / service 2</t>
  </si>
  <si>
    <t xml:space="preserve"> Produit / service 3</t>
  </si>
  <si>
    <t xml:space="preserve"> Produit / service 4</t>
  </si>
  <si>
    <t xml:space="preserve"> Total Chiffre d'affaires</t>
  </si>
  <si>
    <t xml:space="preserve"> Redevances pour concessions</t>
  </si>
  <si>
    <t xml:space="preserve"> Cotisations</t>
  </si>
  <si>
    <t xml:space="preserve"> Produits divers de gestion</t>
  </si>
  <si>
    <t xml:space="preserve"> Total produits de gestion</t>
  </si>
  <si>
    <t xml:space="preserve"> Production stockée</t>
  </si>
  <si>
    <t xml:space="preserve"> Production immobilisée</t>
  </si>
  <si>
    <t xml:space="preserve"> Subventions d'exploitation</t>
  </si>
  <si>
    <t xml:space="preserve"> Produits financiers</t>
  </si>
  <si>
    <t xml:space="preserve"> Produits exceptionnels</t>
  </si>
  <si>
    <t xml:space="preserve"> Reprises sur amortissements</t>
  </si>
  <si>
    <t xml:space="preserve"> Transferts de charges</t>
  </si>
  <si>
    <t xml:space="preserve"> Total autres produits</t>
  </si>
  <si>
    <t xml:space="preserve"> TOTAL PRODUITS</t>
  </si>
  <si>
    <t xml:space="preserve"> RESULTAT  (déficit)</t>
  </si>
  <si>
    <t xml:space="preserve"> TOTAL CHARGES</t>
  </si>
  <si>
    <t xml:space="preserve"> Dotations aux amortissements</t>
  </si>
  <si>
    <t xml:space="preserve"> Charges d'intérêt</t>
  </si>
  <si>
    <t xml:space="preserve"> Total autres charges</t>
  </si>
  <si>
    <t xml:space="preserve"> Charges exceptionnelles</t>
  </si>
  <si>
    <t xml:space="preserve"> Charges financières</t>
  </si>
  <si>
    <t xml:space="preserve"> Autres charges de gestion courante</t>
  </si>
  <si>
    <t xml:space="preserve"> Impôts et taxes</t>
  </si>
  <si>
    <t xml:space="preserve"> Total charges de personnel</t>
  </si>
  <si>
    <t xml:space="preserve"> Charges sociales gérant(s)</t>
  </si>
  <si>
    <t xml:space="preserve"> Rémunération gérant(s) (si société)</t>
  </si>
  <si>
    <t xml:space="preserve"> Total autres services extérieurs</t>
  </si>
  <si>
    <t xml:space="preserve"> Services bancaires et assimilés</t>
  </si>
  <si>
    <t xml:space="preserve"> Frais postaux et de télécoms</t>
  </si>
  <si>
    <t xml:space="preserve"> Déplacements et réceptions</t>
  </si>
  <si>
    <t xml:space="preserve"> Transports</t>
  </si>
  <si>
    <t xml:space="preserve"> Publicité </t>
  </si>
  <si>
    <t xml:space="preserve"> Total services extérieurs</t>
  </si>
  <si>
    <t xml:space="preserve"> Divers : </t>
  </si>
  <si>
    <t xml:space="preserve"> Entretien et réparations</t>
  </si>
  <si>
    <t xml:space="preserve"> Sous-traitance générale</t>
  </si>
  <si>
    <t xml:space="preserve"> Total achats</t>
  </si>
  <si>
    <t xml:space="preserve"> Variation des stocks</t>
  </si>
  <si>
    <t xml:space="preserve"> Etudes et prestations</t>
  </si>
  <si>
    <t xml:space="preserve"> Autres approvisionnements</t>
  </si>
  <si>
    <t xml:space="preserve"> TOTAL Chiffre d'affaires HT</t>
  </si>
  <si>
    <t xml:space="preserve"> RESSOURCES</t>
  </si>
  <si>
    <t xml:space="preserve"> Capitaux propres</t>
  </si>
  <si>
    <t xml:space="preserve"> Total capitaux propres</t>
  </si>
  <si>
    <t xml:space="preserve"> Subventions</t>
  </si>
  <si>
    <t xml:space="preserve"> Emprunts</t>
  </si>
  <si>
    <t xml:space="preserve"> Total emprunts</t>
  </si>
  <si>
    <t xml:space="preserve"> TOTAL DES RESSOURCES</t>
  </si>
  <si>
    <t xml:space="preserve"> Garanties professionnelles</t>
  </si>
  <si>
    <t xml:space="preserve"> Informatique</t>
  </si>
  <si>
    <t xml:space="preserve"> Mobilier</t>
  </si>
  <si>
    <t xml:space="preserve"> Véhicule </t>
  </si>
  <si>
    <t xml:space="preserve"> Agencement, aménagement</t>
  </si>
  <si>
    <t xml:space="preserve"> Logiciel</t>
  </si>
  <si>
    <t xml:space="preserve"> Nature des immobilisations</t>
  </si>
  <si>
    <t xml:space="preserve"> IMMOB. INCORPORELLES</t>
  </si>
  <si>
    <t xml:space="preserve"> IMMOB. CORPORELLES</t>
  </si>
  <si>
    <t xml:space="preserve"> IMMOB. FINANCIERES</t>
  </si>
  <si>
    <t xml:space="preserve"> Frais d’établissement</t>
  </si>
  <si>
    <t xml:space="preserve"> Bureautique (tél, photocopieur...)</t>
  </si>
  <si>
    <t xml:space="preserve"> Dépôt de garantie</t>
  </si>
  <si>
    <t xml:space="preserve"> TOTAL</t>
  </si>
  <si>
    <t>BFR</t>
  </si>
  <si>
    <t xml:space="preserve"> Total Subventions</t>
  </si>
  <si>
    <t xml:space="preserve"> TVA récupérée </t>
  </si>
  <si>
    <t xml:space="preserve"> Capacité d'autofinancement</t>
  </si>
  <si>
    <t>Plan de financement prévisionnel sur 3 ans (HT)</t>
  </si>
  <si>
    <t xml:space="preserve"> Petit matériel et outillage</t>
  </si>
  <si>
    <t xml:space="preserve"> Matières premières / marchandises</t>
  </si>
  <si>
    <t>Total immob. incorp</t>
  </si>
  <si>
    <t>Total immob. corp</t>
  </si>
  <si>
    <t>Total immob. Financières</t>
  </si>
  <si>
    <t>Solde de départ</t>
  </si>
  <si>
    <t>Solde du mois</t>
  </si>
  <si>
    <t>Solde cumulé</t>
  </si>
  <si>
    <t>Remb. compte courant</t>
  </si>
  <si>
    <t>Total autres besoins</t>
  </si>
  <si>
    <t>TOTAL</t>
  </si>
  <si>
    <t xml:space="preserve">TVA déductible sur achats  </t>
  </si>
  <si>
    <t>TVA déductible sur immobilisations</t>
  </si>
  <si>
    <t>TVA MOIS</t>
  </si>
  <si>
    <t>TVA déductible sur services ext.</t>
  </si>
  <si>
    <t>Plan de financement démarrage (HT)</t>
  </si>
  <si>
    <t>Attention : indiquer les valeurs TTC</t>
  </si>
  <si>
    <t xml:space="preserve"> Fourniture gaz, elec, eau</t>
  </si>
  <si>
    <t>TVA Autres services extérieurs</t>
  </si>
  <si>
    <t>Démarrage</t>
  </si>
  <si>
    <t>Clients</t>
  </si>
  <si>
    <t>Fournisseurs</t>
  </si>
  <si>
    <t>Achats de marchandises</t>
  </si>
  <si>
    <t>Sous-Traitance</t>
  </si>
  <si>
    <t>TOTAL DES RESSOURCES</t>
  </si>
  <si>
    <t>B.F.R.</t>
  </si>
  <si>
    <t>variation du B.F.R.</t>
  </si>
  <si>
    <t>STOCKS TTC</t>
  </si>
  <si>
    <t>RESSOURCES TTC</t>
  </si>
  <si>
    <t>ANNUITES CONSTANTES EMPRUNT A</t>
  </si>
  <si>
    <t>Mois</t>
  </si>
  <si>
    <t>Capital restant dû</t>
  </si>
  <si>
    <t>Amortissement</t>
  </si>
  <si>
    <t>Intérêts</t>
  </si>
  <si>
    <t>Montant</t>
  </si>
  <si>
    <t>avant l'échéance</t>
  </si>
  <si>
    <t>échéance</t>
  </si>
  <si>
    <t>après l'échéance</t>
  </si>
  <si>
    <t>Capital emprunté</t>
  </si>
  <si>
    <t>Durée en années</t>
  </si>
  <si>
    <t>Assurance</t>
  </si>
  <si>
    <t>Différé (en mois)</t>
  </si>
  <si>
    <t>Durée en mois</t>
  </si>
  <si>
    <t>Durée en mois + différé</t>
  </si>
  <si>
    <t>Annuité constante</t>
  </si>
  <si>
    <t>Mensualité constante</t>
  </si>
  <si>
    <t>Coût global</t>
  </si>
  <si>
    <t>Année</t>
  </si>
  <si>
    <t>Amortissements</t>
  </si>
  <si>
    <t>Montant échéance</t>
  </si>
  <si>
    <t>Remboursement emprunts</t>
  </si>
  <si>
    <t>intérêts emprunt bancaire année 1</t>
  </si>
  <si>
    <t>intérêts emprunt bancaire année 2</t>
  </si>
  <si>
    <t>intérêts emprunt bancaire année 3</t>
  </si>
  <si>
    <t xml:space="preserve"> Primes</t>
  </si>
  <si>
    <t>TVA collectée sur le Chiffre d'affaires</t>
  </si>
  <si>
    <t>Détail du chiffre d'affaires sur la première année (HT)</t>
  </si>
  <si>
    <t xml:space="preserve"> Matériel / outillage</t>
  </si>
  <si>
    <t xml:space="preserve"> Total immo. incorporelles</t>
  </si>
  <si>
    <t xml:space="preserve"> Total immo. corporelles</t>
  </si>
  <si>
    <t xml:space="preserve"> Total immo. financières</t>
  </si>
  <si>
    <t xml:space="preserve"> Stock de marchandises</t>
  </si>
  <si>
    <t xml:space="preserve"> TVA sur immob. et stocks</t>
  </si>
  <si>
    <t xml:space="preserve"> Disponibilités</t>
  </si>
  <si>
    <t xml:space="preserve"> Primes d'assurances (RCP + véhic.)</t>
  </si>
  <si>
    <t xml:space="preserve"> Comptable</t>
  </si>
  <si>
    <t xml:space="preserve"> Fournitures (admin. + entretien)</t>
  </si>
  <si>
    <t xml:space="preserve"> Frais de formation</t>
  </si>
  <si>
    <t xml:space="preserve"> Crédit-bail (véh. Util + véhic comm)</t>
  </si>
  <si>
    <t xml:space="preserve"> Locations immobilières</t>
  </si>
  <si>
    <t xml:space="preserve"> RESULTAT Net (excédent)</t>
  </si>
  <si>
    <t xml:space="preserve"> IS</t>
  </si>
  <si>
    <t>Remboursement des emprunts</t>
  </si>
  <si>
    <t xml:space="preserve"> Autres</t>
  </si>
  <si>
    <t>Taux d'IS tranche inférieure ou égale 38 120 € sur 12 mois</t>
  </si>
  <si>
    <t>Taux d'IS tranche supérieure 38 120 € sur 12 mois</t>
  </si>
  <si>
    <t>durée exercice année 1 (en jours)</t>
  </si>
  <si>
    <t>sur serv. Ext.</t>
  </si>
  <si>
    <t xml:space="preserve"> Divers :</t>
  </si>
  <si>
    <t xml:space="preserve"> Honoraires</t>
  </si>
  <si>
    <t xml:space="preserve"> Frais de cession</t>
  </si>
  <si>
    <t>Apport en capital</t>
  </si>
  <si>
    <t xml:space="preserve"> Produit / service 1</t>
  </si>
  <si>
    <t>année 2</t>
  </si>
  <si>
    <t>année 3</t>
  </si>
  <si>
    <t>PRODUITS</t>
  </si>
  <si>
    <t xml:space="preserve"> RESULTAT BRUT</t>
  </si>
  <si>
    <t xml:space="preserve"> Rémunérations brutes des salariés</t>
  </si>
  <si>
    <t xml:space="preserve"> Charges sociales et patronales</t>
  </si>
  <si>
    <t>CHARGES VARIABLES</t>
  </si>
  <si>
    <t>Sous-traitance</t>
  </si>
  <si>
    <t>coût d'achat unitaire</t>
  </si>
  <si>
    <t>TOTAL Charges Variables HT</t>
  </si>
  <si>
    <t xml:space="preserve"> BFR hors stock de démarrage</t>
  </si>
  <si>
    <t>BESOIN EN FOND DE ROULEMENT HORS STOCK</t>
  </si>
  <si>
    <r>
      <t xml:space="preserve">BESOINS </t>
    </r>
    <r>
      <rPr>
        <b/>
        <sz val="10"/>
        <color indexed="8"/>
        <rFont val="Tahoma"/>
        <family val="2"/>
      </rPr>
      <t>TTC</t>
    </r>
  </si>
  <si>
    <t>achats démarrage produit 1</t>
  </si>
  <si>
    <t>achats démarrage produit 2</t>
  </si>
  <si>
    <t>achats démarrage produit 3</t>
  </si>
  <si>
    <t>achats démarrage produit 4</t>
  </si>
  <si>
    <t>achat produit 1</t>
  </si>
  <si>
    <t>achat produit 2</t>
  </si>
  <si>
    <t>achat produit 3</t>
  </si>
  <si>
    <t>achat produit 4</t>
  </si>
  <si>
    <t>sous- traitance démarrage</t>
  </si>
  <si>
    <t xml:space="preserve"> Droit d'entrée</t>
  </si>
  <si>
    <t>Autre prêt d'honneur</t>
  </si>
  <si>
    <t>Crowdfounding</t>
  </si>
  <si>
    <t>Evolution du CA année 2 et année 3</t>
  </si>
  <si>
    <t xml:space="preserve"> Communication</t>
  </si>
  <si>
    <t xml:space="preserve"> Cession de parts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</si>
</sst>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#,###&quot;&quot;\ &quot;ans&quot;"/>
    <numFmt numFmtId="171" formatCode="_-* #,##0.00[$€]_-;\-* #,##0.00[$€]_-;_-* &quot;-&quot;??[$€]_-;_-@_-"/>
    <numFmt numFmtId="172" formatCode="#,##0\ _€"/>
    <numFmt numFmtId="173" formatCode="0&quot; jours  &quot;"/>
    <numFmt numFmtId="174" formatCode="0&quot;jours&quot;"/>
    <numFmt numFmtId="175" formatCode="0.0%"/>
    <numFmt numFmtId="176" formatCode="#,##0.00\ &quot;F&quot;;\-#,##0.00\ &quot;F&quot;"/>
    <numFmt numFmtId="177" formatCode="#,##0\ &quot;€&quot;"/>
    <numFmt numFmtId="178" formatCode="#,##0\ &quot;F&quot;;\-#,##0\ &quot;F&quot;"/>
    <numFmt numFmtId="179" formatCode="#,##0.00\ &quot;€&quot;"/>
    <numFmt numFmtId="180" formatCode="#,##0\ &quot;F&quot;;[Red]\-#,##0\ &quot;F&quot;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0.000"/>
    <numFmt numFmtId="185" formatCode="0.0000"/>
    <numFmt numFmtId="186" formatCode="_-* #,##0.000\ _F_-;\-* #,##0.000\ _F_-;_-* &quot;-&quot;??\ _F_-;_-@_-"/>
    <numFmt numFmtId="187" formatCode="#,##0.00&quot; €&quot;;\-#,##0.00&quot; €&quot;"/>
    <numFmt numFmtId="188" formatCode="_-* #,##0.00\ [$€-40C]_-;\-* #,##0.00\ [$€-40C]_-;_-* &quot;-&quot;??\ [$€-40C]_-;_-@_-"/>
    <numFmt numFmtId="189" formatCode="_-* #,##0.000\ [$€-40C]_-;\-* #,##0.000\ [$€-40C]_-;_-* &quot;-&quot;??\ [$€-40C]_-;_-@_-"/>
    <numFmt numFmtId="190" formatCode="_-* #,##0.0\ [$€-40C]_-;\-* #,##0.0\ [$€-40C]_-;_-* &quot;-&quot;??\ [$€-40C]_-;_-@_-"/>
    <numFmt numFmtId="191" formatCode="_-* #,##0\ [$€-40C]_-;\-* #,##0\ [$€-40C]_-;_-* &quot;-&quot;??\ [$€-40C]_-;_-@_-"/>
    <numFmt numFmtId="192" formatCode="_-* #,##0.0\ [$€-40C]_-;\-* #,##0.0\ [$€-40C]_-;_-* &quot;-&quot;?\ [$€-40C]_-;_-@_-"/>
    <numFmt numFmtId="193" formatCode="0.00000"/>
    <numFmt numFmtId="194" formatCode="_-* #,##0.0000\ [$€-40C]_-;\-* #,##0.0000\ [$€-40C]_-;_-* &quot;-&quot;??\ [$€-40C]_-;_-@_-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.5"/>
      <name val="Tahoma"/>
      <family val="2"/>
    </font>
    <font>
      <sz val="10.5"/>
      <name val="Tahoma"/>
      <family val="2"/>
    </font>
    <font>
      <b/>
      <sz val="10.5"/>
      <color indexed="17"/>
      <name val="Tahoma"/>
      <family val="2"/>
    </font>
    <font>
      <b/>
      <sz val="10.5"/>
      <color indexed="10"/>
      <name val="Tahoma"/>
      <family val="2"/>
    </font>
    <font>
      <sz val="11"/>
      <name val="Tahoma"/>
      <family val="2"/>
    </font>
    <font>
      <sz val="10"/>
      <name val="Avant Garde"/>
      <family val="0"/>
    </font>
    <font>
      <sz val="12"/>
      <name val="Geneva"/>
      <family val="0"/>
    </font>
    <font>
      <b/>
      <sz val="10"/>
      <name val="Avant Garde"/>
      <family val="0"/>
    </font>
    <font>
      <sz val="9"/>
      <name val="Geneva"/>
      <family val="0"/>
    </font>
    <font>
      <sz val="8"/>
      <name val="Arial"/>
      <family val="2"/>
    </font>
    <font>
      <sz val="11"/>
      <color indexed="14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Verdana"/>
      <family val="2"/>
    </font>
    <font>
      <b/>
      <sz val="12"/>
      <color indexed="10"/>
      <name val="Tahoma"/>
      <family val="2"/>
    </font>
    <font>
      <b/>
      <i/>
      <sz val="8"/>
      <name val="Avant Garde"/>
      <family val="0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171" fontId="3" fillId="0" borderId="0" applyFont="0" applyFill="0" applyBorder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8" fillId="0" borderId="10" xfId="54" applyFont="1" applyFill="1" applyBorder="1">
      <alignment/>
      <protection/>
    </xf>
    <xf numFmtId="1" fontId="5" fillId="0" borderId="10" xfId="0" applyNumberFormat="1" applyFont="1" applyBorder="1" applyAlignment="1">
      <alignment/>
    </xf>
    <xf numFmtId="0" fontId="20" fillId="0" borderId="10" xfId="54" applyFont="1" applyFill="1" applyBorder="1">
      <alignment/>
      <protection/>
    </xf>
    <xf numFmtId="0" fontId="7" fillId="0" borderId="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3" fillId="33" borderId="10" xfId="0" applyNumberFormat="1" applyFont="1" applyFill="1" applyBorder="1" applyAlignment="1">
      <alignment vertical="center" wrapText="1"/>
    </xf>
    <xf numFmtId="172" fontId="16" fillId="0" borderId="12" xfId="0" applyNumberFormat="1" applyFont="1" applyBorder="1" applyAlignment="1">
      <alignment vertical="center" wrapText="1"/>
    </xf>
    <xf numFmtId="172" fontId="12" fillId="33" borderId="18" xfId="0" applyNumberFormat="1" applyFont="1" applyFill="1" applyBorder="1" applyAlignment="1">
      <alignment horizontal="center" vertical="center" wrapText="1"/>
    </xf>
    <xf numFmtId="172" fontId="12" fillId="33" borderId="19" xfId="0" applyNumberFormat="1" applyFont="1" applyFill="1" applyBorder="1" applyAlignment="1">
      <alignment horizontal="center" vertical="center" wrapText="1"/>
    </xf>
    <xf numFmtId="172" fontId="12" fillId="33" borderId="20" xfId="0" applyNumberFormat="1" applyFont="1" applyFill="1" applyBorder="1" applyAlignment="1">
      <alignment horizontal="center" vertical="center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9" fillId="0" borderId="28" xfId="0" applyNumberFormat="1" applyFont="1" applyBorder="1" applyAlignment="1">
      <alignment horizontal="center" wrapText="1"/>
    </xf>
    <xf numFmtId="3" fontId="9" fillId="0" borderId="29" xfId="0" applyNumberFormat="1" applyFont="1" applyBorder="1" applyAlignment="1">
      <alignment horizontal="center" wrapText="1"/>
    </xf>
    <xf numFmtId="3" fontId="9" fillId="0" borderId="30" xfId="0" applyNumberFormat="1" applyFont="1" applyBorder="1" applyAlignment="1">
      <alignment horizontal="center" wrapText="1"/>
    </xf>
    <xf numFmtId="3" fontId="9" fillId="0" borderId="31" xfId="0" applyNumberFormat="1" applyFont="1" applyBorder="1" applyAlignment="1">
      <alignment horizontal="center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26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 wrapText="1"/>
    </xf>
    <xf numFmtId="3" fontId="9" fillId="0" borderId="27" xfId="0" applyNumberFormat="1" applyFont="1" applyBorder="1" applyAlignment="1">
      <alignment horizontal="center" wrapText="1"/>
    </xf>
    <xf numFmtId="3" fontId="9" fillId="0" borderId="21" xfId="0" applyNumberFormat="1" applyFont="1" applyBorder="1" applyAlignment="1">
      <alignment horizontal="center" wrapText="1"/>
    </xf>
    <xf numFmtId="3" fontId="11" fillId="0" borderId="35" xfId="0" applyNumberFormat="1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wrapText="1"/>
    </xf>
    <xf numFmtId="3" fontId="11" fillId="0" borderId="37" xfId="0" applyNumberFormat="1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center" vertical="center" wrapText="1"/>
    </xf>
    <xf numFmtId="3" fontId="17" fillId="0" borderId="4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3" fontId="17" fillId="34" borderId="0" xfId="53" applyNumberFormat="1" applyFont="1" applyFill="1">
      <alignment/>
      <protection/>
    </xf>
    <xf numFmtId="0" fontId="17" fillId="34" borderId="0" xfId="53" applyFont="1" applyFill="1">
      <alignment/>
      <protection/>
    </xf>
    <xf numFmtId="3" fontId="5" fillId="34" borderId="0" xfId="53" applyNumberFormat="1" applyFont="1" applyFill="1" applyAlignment="1">
      <alignment horizontal="center"/>
      <protection/>
    </xf>
    <xf numFmtId="3" fontId="6" fillId="35" borderId="10" xfId="53" applyNumberFormat="1" applyFont="1" applyFill="1" applyBorder="1" applyAlignment="1">
      <alignment horizontal="center"/>
      <protection/>
    </xf>
    <xf numFmtId="0" fontId="5" fillId="34" borderId="0" xfId="53" applyFont="1" applyFill="1" applyAlignment="1">
      <alignment horizontal="center"/>
      <protection/>
    </xf>
    <xf numFmtId="0" fontId="6" fillId="34" borderId="23" xfId="53" applyFont="1" applyFill="1" applyBorder="1" applyAlignment="1">
      <alignment horizontal="center" vertical="center"/>
      <protection/>
    </xf>
    <xf numFmtId="173" fontId="5" fillId="34" borderId="23" xfId="53" applyNumberFormat="1" applyFont="1" applyFill="1" applyBorder="1" applyAlignment="1">
      <alignment horizontal="center" vertical="center"/>
      <protection/>
    </xf>
    <xf numFmtId="3" fontId="5" fillId="34" borderId="23" xfId="53" applyNumberFormat="1" applyFont="1" applyFill="1" applyBorder="1" applyAlignment="1">
      <alignment horizontal="center" vertical="center"/>
      <protection/>
    </xf>
    <xf numFmtId="0" fontId="5" fillId="34" borderId="41" xfId="53" applyFont="1" applyFill="1" applyBorder="1" applyAlignment="1">
      <alignment horizontal="center" vertical="center"/>
      <protection/>
    </xf>
    <xf numFmtId="173" fontId="5" fillId="34" borderId="41" xfId="53" applyNumberFormat="1" applyFont="1" applyFill="1" applyBorder="1" applyAlignment="1">
      <alignment horizontal="center" vertical="center"/>
      <protection/>
    </xf>
    <xf numFmtId="3" fontId="5" fillId="34" borderId="41" xfId="53" applyNumberFormat="1" applyFont="1" applyFill="1" applyBorder="1" applyAlignment="1">
      <alignment horizontal="center" vertical="center"/>
      <protection/>
    </xf>
    <xf numFmtId="0" fontId="6" fillId="35" borderId="41" xfId="53" applyFont="1" applyFill="1" applyBorder="1" applyAlignment="1">
      <alignment horizontal="center" vertical="center"/>
      <protection/>
    </xf>
    <xf numFmtId="173" fontId="5" fillId="35" borderId="41" xfId="53" applyNumberFormat="1" applyFont="1" applyFill="1" applyBorder="1" applyAlignment="1">
      <alignment horizontal="center" vertical="center"/>
      <protection/>
    </xf>
    <xf numFmtId="3" fontId="5" fillId="35" borderId="41" xfId="53" applyNumberFormat="1" applyFont="1" applyFill="1" applyBorder="1" applyAlignment="1">
      <alignment horizontal="center" vertical="center"/>
      <protection/>
    </xf>
    <xf numFmtId="0" fontId="5" fillId="34" borderId="0" xfId="53" applyFont="1" applyFill="1" applyAlignment="1">
      <alignment horizontal="center" vertical="center"/>
      <protection/>
    </xf>
    <xf numFmtId="173" fontId="5" fillId="34" borderId="0" xfId="53" applyNumberFormat="1" applyFont="1" applyFill="1" applyAlignment="1">
      <alignment horizontal="center" vertical="center"/>
      <protection/>
    </xf>
    <xf numFmtId="3" fontId="5" fillId="34" borderId="0" xfId="53" applyNumberFormat="1" applyFont="1" applyFill="1" applyAlignment="1">
      <alignment horizontal="center" vertical="center"/>
      <protection/>
    </xf>
    <xf numFmtId="0" fontId="5" fillId="34" borderId="12" xfId="53" applyFont="1" applyFill="1" applyBorder="1" applyAlignment="1">
      <alignment horizontal="center" vertical="center"/>
      <protection/>
    </xf>
    <xf numFmtId="173" fontId="5" fillId="34" borderId="12" xfId="53" applyNumberFormat="1" applyFont="1" applyFill="1" applyBorder="1" applyAlignment="1">
      <alignment horizontal="center" vertical="center"/>
      <protection/>
    </xf>
    <xf numFmtId="3" fontId="5" fillId="34" borderId="12" xfId="53" applyNumberFormat="1" applyFont="1" applyFill="1" applyBorder="1" applyAlignment="1">
      <alignment horizontal="center" vertical="center"/>
      <protection/>
    </xf>
    <xf numFmtId="0" fontId="6" fillId="35" borderId="23" xfId="53" applyFont="1" applyFill="1" applyBorder="1" applyAlignment="1">
      <alignment horizontal="center" vertical="center"/>
      <protection/>
    </xf>
    <xf numFmtId="174" fontId="5" fillId="35" borderId="23" xfId="53" applyNumberFormat="1" applyFont="1" applyFill="1" applyBorder="1" applyAlignment="1">
      <alignment horizontal="center" vertical="center"/>
      <protection/>
    </xf>
    <xf numFmtId="3" fontId="5" fillId="35" borderId="23" xfId="53" applyNumberFormat="1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174" fontId="5" fillId="35" borderId="10" xfId="53" applyNumberFormat="1" applyFont="1" applyFill="1" applyBorder="1" applyAlignment="1">
      <alignment horizontal="center" vertical="center"/>
      <protection/>
    </xf>
    <xf numFmtId="3" fontId="5" fillId="35" borderId="10" xfId="53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0" fillId="33" borderId="42" xfId="0" applyFont="1" applyFill="1" applyBorder="1" applyAlignment="1">
      <alignment/>
    </xf>
    <xf numFmtId="0" fontId="10" fillId="0" borderId="43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1" fontId="12" fillId="0" borderId="23" xfId="0" applyNumberFormat="1" applyFont="1" applyBorder="1" applyAlignment="1">
      <alignment/>
    </xf>
    <xf numFmtId="1" fontId="12" fillId="0" borderId="24" xfId="0" applyNumberFormat="1" applyFont="1" applyBorder="1" applyAlignment="1">
      <alignment/>
    </xf>
    <xf numFmtId="0" fontId="10" fillId="33" borderId="40" xfId="0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/>
    </xf>
    <xf numFmtId="1" fontId="10" fillId="0" borderId="39" xfId="0" applyNumberFormat="1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2" fillId="0" borderId="43" xfId="0" applyFont="1" applyBorder="1" applyAlignment="1">
      <alignment/>
    </xf>
    <xf numFmtId="0" fontId="10" fillId="33" borderId="45" xfId="0" applyFont="1" applyFill="1" applyBorder="1" applyAlignment="1">
      <alignment/>
    </xf>
    <xf numFmtId="1" fontId="10" fillId="0" borderId="45" xfId="0" applyNumberFormat="1" applyFont="1" applyFill="1" applyBorder="1" applyAlignment="1">
      <alignment/>
    </xf>
    <xf numFmtId="1" fontId="10" fillId="0" borderId="38" xfId="0" applyNumberFormat="1" applyFont="1" applyFill="1" applyBorder="1" applyAlignment="1">
      <alignment/>
    </xf>
    <xf numFmtId="0" fontId="12" fillId="33" borderId="40" xfId="0" applyFont="1" applyFill="1" applyBorder="1" applyAlignment="1">
      <alignment/>
    </xf>
    <xf numFmtId="1" fontId="12" fillId="33" borderId="13" xfId="0" applyNumberFormat="1" applyFont="1" applyFill="1" applyBorder="1" applyAlignment="1">
      <alignment/>
    </xf>
    <xf numFmtId="1" fontId="12" fillId="0" borderId="12" xfId="0" applyNumberFormat="1" applyFont="1" applyBorder="1" applyAlignment="1">
      <alignment/>
    </xf>
    <xf numFmtId="0" fontId="12" fillId="33" borderId="46" xfId="0" applyFont="1" applyFill="1" applyBorder="1" applyAlignment="1">
      <alignment/>
    </xf>
    <xf numFmtId="1" fontId="12" fillId="33" borderId="47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25" fillId="33" borderId="23" xfId="0" applyFont="1" applyFill="1" applyBorder="1" applyAlignment="1" applyProtection="1">
      <alignment horizontal="center"/>
      <protection/>
    </xf>
    <xf numFmtId="176" fontId="25" fillId="33" borderId="25" xfId="0" applyNumberFormat="1" applyFont="1" applyFill="1" applyBorder="1" applyAlignment="1" applyProtection="1">
      <alignment horizontal="center"/>
      <protection/>
    </xf>
    <xf numFmtId="176" fontId="25" fillId="33" borderId="23" xfId="0" applyNumberFormat="1" applyFont="1" applyFill="1" applyBorder="1" applyAlignment="1" applyProtection="1">
      <alignment horizontal="center"/>
      <protection/>
    </xf>
    <xf numFmtId="176" fontId="25" fillId="33" borderId="26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5" fillId="33" borderId="12" xfId="0" applyFont="1" applyFill="1" applyBorder="1" applyAlignment="1" applyProtection="1">
      <alignment horizontal="right"/>
      <protection/>
    </xf>
    <xf numFmtId="176" fontId="25" fillId="33" borderId="31" xfId="0" applyNumberFormat="1" applyFont="1" applyFill="1" applyBorder="1" applyAlignment="1" applyProtection="1">
      <alignment horizontal="center"/>
      <protection/>
    </xf>
    <xf numFmtId="176" fontId="25" fillId="33" borderId="12" xfId="0" applyNumberFormat="1" applyFont="1" applyFill="1" applyBorder="1" applyAlignment="1" applyProtection="1">
      <alignment horizontal="center"/>
      <protection/>
    </xf>
    <xf numFmtId="176" fontId="25" fillId="33" borderId="29" xfId="0" applyNumberFormat="1" applyFont="1" applyFill="1" applyBorder="1" applyAlignment="1" applyProtection="1">
      <alignment horizontal="center"/>
      <protection/>
    </xf>
    <xf numFmtId="0" fontId="26" fillId="0" borderId="48" xfId="0" applyFont="1" applyFill="1" applyBorder="1" applyAlignment="1" applyProtection="1">
      <alignment/>
      <protection/>
    </xf>
    <xf numFmtId="177" fontId="25" fillId="36" borderId="48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Alignment="1" applyProtection="1">
      <alignment/>
      <protection/>
    </xf>
    <xf numFmtId="0" fontId="0" fillId="0" borderId="41" xfId="0" applyFont="1" applyFill="1" applyBorder="1" applyAlignment="1" applyProtection="1">
      <alignment horizontal="center"/>
      <protection/>
    </xf>
    <xf numFmtId="179" fontId="0" fillId="0" borderId="41" xfId="0" applyNumberFormat="1" applyFont="1" applyFill="1" applyBorder="1" applyAlignment="1" applyProtection="1">
      <alignment horizontal="center"/>
      <protection/>
    </xf>
    <xf numFmtId="179" fontId="0" fillId="0" borderId="23" xfId="0" applyNumberFormat="1" applyFont="1" applyFill="1" applyBorder="1" applyAlignment="1" applyProtection="1">
      <alignment horizontal="center"/>
      <protection/>
    </xf>
    <xf numFmtId="10" fontId="25" fillId="36" borderId="48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/>
      <protection/>
    </xf>
    <xf numFmtId="0" fontId="25" fillId="0" borderId="48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25" fillId="36" borderId="48" xfId="0" applyNumberFormat="1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79" fontId="25" fillId="36" borderId="4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33" borderId="10" xfId="0" applyFont="1" applyFill="1" applyBorder="1" applyAlignment="1" applyProtection="1">
      <alignment horizontal="center"/>
      <protection/>
    </xf>
    <xf numFmtId="4" fontId="25" fillId="33" borderId="22" xfId="0" applyNumberFormat="1" applyFont="1" applyFill="1" applyBorder="1" applyAlignment="1" applyProtection="1">
      <alignment horizontal="center"/>
      <protection/>
    </xf>
    <xf numFmtId="0" fontId="27" fillId="0" borderId="41" xfId="0" applyFont="1" applyFill="1" applyBorder="1" applyAlignment="1" applyProtection="1">
      <alignment horizontal="center"/>
      <protection/>
    </xf>
    <xf numFmtId="179" fontId="0" fillId="36" borderId="41" xfId="0" applyNumberFormat="1" applyFont="1" applyFill="1" applyBorder="1" applyAlignment="1" applyProtection="1">
      <alignment horizontal="center"/>
      <protection/>
    </xf>
    <xf numFmtId="179" fontId="0" fillId="36" borderId="19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Font="1" applyFill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179" fontId="0" fillId="36" borderId="12" xfId="0" applyNumberFormat="1" applyFont="1" applyFill="1" applyBorder="1" applyAlignment="1" applyProtection="1">
      <alignment horizontal="center"/>
      <protection/>
    </xf>
    <xf numFmtId="179" fontId="0" fillId="36" borderId="29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28" fillId="0" borderId="0" xfId="45" applyFont="1" applyFill="1" applyBorder="1" applyAlignment="1" applyProtection="1">
      <alignment horizontal="center" vertical="center"/>
      <protection/>
    </xf>
    <xf numFmtId="10" fontId="25" fillId="37" borderId="48" xfId="0" applyNumberFormat="1" applyFont="1" applyFill="1" applyBorder="1" applyAlignment="1" applyProtection="1">
      <alignment horizontal="center"/>
      <protection/>
    </xf>
    <xf numFmtId="0" fontId="25" fillId="37" borderId="48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181" fontId="5" fillId="0" borderId="16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5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2" fontId="13" fillId="0" borderId="12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183" fontId="5" fillId="0" borderId="0" xfId="47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vertical="center"/>
    </xf>
    <xf numFmtId="1" fontId="11" fillId="33" borderId="10" xfId="0" applyNumberFormat="1" applyFont="1" applyFill="1" applyBorder="1" applyAlignment="1">
      <alignment horizontal="center"/>
    </xf>
    <xf numFmtId="1" fontId="11" fillId="0" borderId="10" xfId="47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" fontId="30" fillId="0" borderId="0" xfId="0" applyNumberFormat="1" applyFont="1" applyBorder="1" applyAlignment="1">
      <alignment horizontal="right"/>
    </xf>
    <xf numFmtId="10" fontId="30" fillId="0" borderId="0" xfId="43" applyNumberFormat="1" applyFont="1" applyBorder="1" applyAlignment="1">
      <alignment/>
    </xf>
    <xf numFmtId="0" fontId="11" fillId="0" borderId="0" xfId="0" applyFont="1" applyFill="1" applyBorder="1" applyAlignment="1">
      <alignment horizontal="right"/>
    </xf>
    <xf numFmtId="1" fontId="5" fillId="38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79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79" fontId="0" fillId="0" borderId="25" xfId="0" applyNumberFormat="1" applyFont="1" applyFill="1" applyBorder="1" applyAlignment="1" applyProtection="1">
      <alignment horizontal="center"/>
      <protection/>
    </xf>
    <xf numFmtId="1" fontId="11" fillId="0" borderId="43" xfId="0" applyNumberFormat="1" applyFont="1" applyFill="1" applyBorder="1" applyAlignment="1">
      <alignment horizontal="center"/>
    </xf>
    <xf numFmtId="179" fontId="0" fillId="0" borderId="43" xfId="0" applyNumberFormat="1" applyFont="1" applyFill="1" applyBorder="1" applyAlignment="1" applyProtection="1">
      <alignment horizontal="center"/>
      <protection/>
    </xf>
    <xf numFmtId="179" fontId="0" fillId="0" borderId="55" xfId="0" applyNumberFormat="1" applyFont="1" applyFill="1" applyBorder="1" applyAlignment="1" applyProtection="1">
      <alignment horizontal="center"/>
      <protection/>
    </xf>
    <xf numFmtId="176" fontId="25" fillId="33" borderId="41" xfId="0" applyNumberFormat="1" applyFont="1" applyFill="1" applyBorder="1" applyAlignment="1" applyProtection="1">
      <alignment horizontal="center"/>
      <protection/>
    </xf>
    <xf numFmtId="17" fontId="9" fillId="33" borderId="10" xfId="0" applyNumberFormat="1" applyFont="1" applyFill="1" applyBorder="1" applyAlignment="1">
      <alignment horizontal="center"/>
    </xf>
    <xf numFmtId="3" fontId="11" fillId="38" borderId="28" xfId="0" applyNumberFormat="1" applyFont="1" applyFill="1" applyBorder="1" applyAlignment="1">
      <alignment horizontal="center" wrapText="1"/>
    </xf>
    <xf numFmtId="1" fontId="6" fillId="38" borderId="10" xfId="0" applyNumberFormat="1" applyFont="1" applyFill="1" applyBorder="1" applyAlignment="1">
      <alignment horizontal="center"/>
    </xf>
    <xf numFmtId="1" fontId="11" fillId="38" borderId="10" xfId="0" applyNumberFormat="1" applyFont="1" applyFill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5" fillId="38" borderId="48" xfId="0" applyNumberFormat="1" applyFont="1" applyFill="1" applyBorder="1" applyAlignment="1" applyProtection="1">
      <alignment horizontal="center"/>
      <protection/>
    </xf>
    <xf numFmtId="0" fontId="25" fillId="39" borderId="48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175" fontId="0" fillId="0" borderId="10" xfId="56" applyNumberFormat="1" applyFont="1" applyBorder="1" applyAlignment="1">
      <alignment/>
    </xf>
    <xf numFmtId="188" fontId="11" fillId="38" borderId="10" xfId="49" applyNumberFormat="1" applyFont="1" applyFill="1" applyBorder="1" applyAlignment="1">
      <alignment horizontal="center"/>
    </xf>
    <xf numFmtId="188" fontId="11" fillId="38" borderId="10" xfId="0" applyNumberFormat="1" applyFont="1" applyFill="1" applyBorder="1" applyAlignment="1">
      <alignment horizontal="center"/>
    </xf>
    <xf numFmtId="168" fontId="0" fillId="38" borderId="10" xfId="49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3" fontId="5" fillId="0" borderId="25" xfId="53" applyNumberFormat="1" applyFont="1" applyFill="1" applyBorder="1" applyAlignment="1">
      <alignment horizontal="center" vertical="center"/>
      <protection/>
    </xf>
    <xf numFmtId="173" fontId="5" fillId="0" borderId="25" xfId="53" applyNumberFormat="1" applyFont="1" applyFill="1" applyBorder="1" applyAlignment="1">
      <alignment horizontal="center" vertical="center"/>
      <protection/>
    </xf>
    <xf numFmtId="173" fontId="5" fillId="38" borderId="23" xfId="53" applyNumberFormat="1" applyFont="1" applyFill="1" applyBorder="1" applyAlignment="1">
      <alignment horizontal="center" vertical="center"/>
      <protection/>
    </xf>
    <xf numFmtId="173" fontId="5" fillId="38" borderId="41" xfId="53" applyNumberFormat="1" applyFont="1" applyFill="1" applyBorder="1" applyAlignment="1">
      <alignment horizontal="center" vertical="center"/>
      <protection/>
    </xf>
    <xf numFmtId="188" fontId="0" fillId="38" borderId="10" xfId="49" applyNumberFormat="1" applyFont="1" applyFill="1" applyBorder="1" applyAlignment="1">
      <alignment/>
    </xf>
    <xf numFmtId="188" fontId="23" fillId="38" borderId="10" xfId="49" applyNumberFormat="1" applyFont="1" applyFill="1" applyBorder="1" applyAlignment="1">
      <alignment horizontal="center" vertical="top" wrapText="1"/>
    </xf>
    <xf numFmtId="188" fontId="0" fillId="38" borderId="10" xfId="49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25" fillId="38" borderId="10" xfId="49" applyNumberFormat="1" applyFont="1" applyFill="1" applyBorder="1" applyAlignment="1">
      <alignment/>
    </xf>
    <xf numFmtId="191" fontId="0" fillId="38" borderId="10" xfId="49" applyNumberFormat="1" applyFont="1" applyFill="1" applyBorder="1" applyAlignment="1">
      <alignment/>
    </xf>
    <xf numFmtId="191" fontId="23" fillId="38" borderId="10" xfId="49" applyNumberFormat="1" applyFont="1" applyFill="1" applyBorder="1" applyAlignment="1">
      <alignment horizontal="center" vertical="top" wrapText="1"/>
    </xf>
    <xf numFmtId="191" fontId="0" fillId="38" borderId="10" xfId="49" applyNumberFormat="1" applyFont="1" applyFill="1" applyBorder="1" applyAlignment="1">
      <alignment/>
    </xf>
    <xf numFmtId="188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/>
    </xf>
    <xf numFmtId="10" fontId="5" fillId="38" borderId="10" xfId="0" applyNumberFormat="1" applyFont="1" applyFill="1" applyBorder="1" applyAlignment="1">
      <alignment horizontal="center"/>
    </xf>
    <xf numFmtId="186" fontId="5" fillId="38" borderId="10" xfId="47" applyNumberFormat="1" applyFont="1" applyFill="1" applyBorder="1" applyAlignment="1">
      <alignment/>
    </xf>
    <xf numFmtId="179" fontId="0" fillId="0" borderId="19" xfId="0" applyNumberFormat="1" applyFont="1" applyFill="1" applyBorder="1" applyAlignment="1" applyProtection="1">
      <alignment horizontal="center"/>
      <protection/>
    </xf>
    <xf numFmtId="179" fontId="0" fillId="0" borderId="29" xfId="0" applyNumberFormat="1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38" borderId="10" xfId="0" applyNumberFormat="1" applyFill="1" applyBorder="1" applyAlignment="1">
      <alignment/>
    </xf>
    <xf numFmtId="1" fontId="0" fillId="38" borderId="10" xfId="49" applyNumberFormat="1" applyFont="1" applyFill="1" applyBorder="1" applyAlignment="1">
      <alignment/>
    </xf>
    <xf numFmtId="1" fontId="23" fillId="38" borderId="10" xfId="49" applyNumberFormat="1" applyFont="1" applyFill="1" applyBorder="1" applyAlignment="1">
      <alignment horizontal="center" vertical="top" wrapText="1"/>
    </xf>
    <xf numFmtId="1" fontId="0" fillId="38" borderId="10" xfId="49" applyNumberFormat="1" applyFont="1" applyFill="1" applyBorder="1" applyAlignment="1">
      <alignment/>
    </xf>
    <xf numFmtId="1" fontId="23" fillId="0" borderId="10" xfId="0" applyNumberFormat="1" applyFont="1" applyBorder="1" applyAlignment="1">
      <alignment horizontal="center" vertical="top" wrapText="1"/>
    </xf>
    <xf numFmtId="1" fontId="0" fillId="0" borderId="10" xfId="56" applyNumberFormat="1" applyFont="1" applyBorder="1" applyAlignment="1">
      <alignment/>
    </xf>
    <xf numFmtId="1" fontId="5" fillId="40" borderId="10" xfId="0" applyNumberFormat="1" applyFont="1" applyFill="1" applyBorder="1" applyAlignment="1">
      <alignment horizontal="center"/>
    </xf>
    <xf numFmtId="3" fontId="11" fillId="38" borderId="29" xfId="0" applyNumberFormat="1" applyFont="1" applyFill="1" applyBorder="1" applyAlignment="1">
      <alignment horizontal="center" wrapText="1"/>
    </xf>
    <xf numFmtId="3" fontId="11" fillId="0" borderId="28" xfId="0" applyNumberFormat="1" applyFont="1" applyFill="1" applyBorder="1" applyAlignment="1">
      <alignment horizontal="center" wrapText="1"/>
    </xf>
    <xf numFmtId="3" fontId="11" fillId="0" borderId="29" xfId="0" applyNumberFormat="1" applyFont="1" applyFill="1" applyBorder="1" applyAlignment="1">
      <alignment horizontal="center" wrapText="1"/>
    </xf>
    <xf numFmtId="3" fontId="11" fillId="0" borderId="30" xfId="0" applyNumberFormat="1" applyFont="1" applyFill="1" applyBorder="1" applyAlignment="1">
      <alignment horizontal="center" wrapText="1"/>
    </xf>
    <xf numFmtId="3" fontId="11" fillId="0" borderId="34" xfId="0" applyNumberFormat="1" applyFont="1" applyFill="1" applyBorder="1" applyAlignment="1">
      <alignment horizontal="center" wrapText="1"/>
    </xf>
    <xf numFmtId="3" fontId="11" fillId="0" borderId="31" xfId="0" applyNumberFormat="1" applyFont="1" applyFill="1" applyBorder="1" applyAlignment="1">
      <alignment horizontal="center" wrapText="1"/>
    </xf>
    <xf numFmtId="191" fontId="0" fillId="38" borderId="10" xfId="52" applyNumberFormat="1" applyFont="1" applyFill="1" applyBorder="1" applyAlignment="1">
      <alignment horizontal="center" vertical="center"/>
      <protection/>
    </xf>
    <xf numFmtId="191" fontId="11" fillId="38" borderId="10" xfId="49" applyNumberFormat="1" applyFont="1" applyFill="1" applyBorder="1" applyAlignment="1">
      <alignment horizontal="center"/>
    </xf>
    <xf numFmtId="3" fontId="11" fillId="38" borderId="18" xfId="0" applyNumberFormat="1" applyFont="1" applyFill="1" applyBorder="1" applyAlignment="1">
      <alignment horizontal="center" wrapText="1"/>
    </xf>
    <xf numFmtId="1" fontId="6" fillId="4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33" borderId="56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6" fillId="33" borderId="50" xfId="0" applyFont="1" applyFill="1" applyBorder="1" applyAlignment="1">
      <alignment vertical="center" wrapText="1"/>
    </xf>
    <xf numFmtId="0" fontId="6" fillId="33" borderId="53" xfId="0" applyFont="1" applyFill="1" applyBorder="1" applyAlignment="1">
      <alignment vertical="center" wrapText="1"/>
    </xf>
    <xf numFmtId="0" fontId="29" fillId="33" borderId="59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6" fillId="0" borderId="24" xfId="5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12" fillId="0" borderId="16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1" fontId="12" fillId="0" borderId="31" xfId="0" applyNumberFormat="1" applyFont="1" applyFill="1" applyBorder="1" applyAlignment="1">
      <alignment/>
    </xf>
    <xf numFmtId="1" fontId="12" fillId="0" borderId="29" xfId="0" applyNumberFormat="1" applyFont="1" applyFill="1" applyBorder="1" applyAlignment="1">
      <alignment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4" fillId="33" borderId="21" xfId="0" applyFont="1" applyFill="1" applyBorder="1" applyAlignment="1" applyProtection="1">
      <alignment horizontal="center" vertical="center"/>
      <protection/>
    </xf>
    <xf numFmtId="0" fontId="24" fillId="33" borderId="22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5-DETAIL CHIFFRE D'AFFAIRE" xfId="52"/>
    <cellStyle name="Normal_8-plan de financement" xfId="53"/>
    <cellStyle name="Normal_9-trésorerie 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05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05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05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QYDAT03\Mentr\Documents%20and%20Settings\sabaria-baldenweg.m\Mes%20documents\DOSSIER%20DE%20FINANCEMENT\dossier%20financie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D\MAISON%20ENTREPRISE\DOSSIERS%20ME\OUTILS%20ME\Dossier%20fi&#176;%20Oscar\M.%20YARANANGORE%20fi\Yaranango%20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-DESCRIPTIF IMMOBILISATIONS"/>
      <sheetName val="2-BILAN DE DEMARRAGE"/>
      <sheetName val="3-EMPRUNT Long Terme"/>
      <sheetName val="4-EMPRUNT Court Terme"/>
      <sheetName val="5-PCE"/>
      <sheetName val="6-Crédit TVA"/>
      <sheetName val="7-DETAIL CHIFFRE D'AFFAIRES"/>
      <sheetName val="8-COMPTE RESULTAT MENSUEL"/>
      <sheetName val="9-RESULTAT SUR 3 ANS"/>
      <sheetName val="10-plan de financement"/>
      <sheetName val="11-trésorerie "/>
      <sheetName val="12-SIG"/>
      <sheetName val="13-graph"/>
    </sheetNames>
    <sheetDataSet>
      <sheetData sheetId="0">
        <row r="5">
          <cell r="B5">
            <v>0.196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-DESCRIPTIF IMMOBILISATIONS"/>
      <sheetName val="2-BILAN DE DEMARRAGE"/>
      <sheetName val="3-EMPRUNT Long Terme"/>
      <sheetName val="4-EMPRUNT Court Terme"/>
      <sheetName val="5-PCE"/>
      <sheetName val="6-Crédit TVA"/>
      <sheetName val="7-DETAIL CHIFFRE D'AFFAIRES"/>
      <sheetName val="8-COMPTE RESULTAT MENSUEL"/>
      <sheetName val="9-RESULTAT SUR 3 ANS"/>
      <sheetName val="10-plan de financement"/>
      <sheetName val="11-trésorerie "/>
      <sheetName val="12-SIG"/>
      <sheetName val="13-graph"/>
    </sheetNames>
    <sheetDataSet>
      <sheetData sheetId="0">
        <row r="6">
          <cell r="B6">
            <v>1.196</v>
          </cell>
          <cell r="C6">
            <v>1.055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5">
      <selection activeCell="E11" sqref="E11"/>
    </sheetView>
  </sheetViews>
  <sheetFormatPr defaultColWidth="11.421875" defaultRowHeight="12.75"/>
  <cols>
    <col min="1" max="1" width="29.8515625" style="2" customWidth="1"/>
    <col min="2" max="2" width="10.421875" style="2" bestFit="1" customWidth="1"/>
    <col min="3" max="3" width="7.421875" style="2" customWidth="1"/>
    <col min="4" max="4" width="8.7109375" style="2" customWidth="1"/>
    <col min="5" max="5" width="10.421875" style="2" bestFit="1" customWidth="1"/>
    <col min="6" max="6" width="7.421875" style="2" customWidth="1"/>
    <col min="7" max="7" width="8.7109375" style="2" customWidth="1"/>
    <col min="8" max="8" width="10.421875" style="2" bestFit="1" customWidth="1"/>
    <col min="9" max="9" width="7.421875" style="2" customWidth="1"/>
    <col min="10" max="10" width="8.7109375" style="2" customWidth="1"/>
    <col min="11" max="11" width="10.421875" style="2" bestFit="1" customWidth="1"/>
    <col min="12" max="12" width="8.28125" style="2" customWidth="1"/>
    <col min="13" max="13" width="8.7109375" style="2" customWidth="1"/>
    <col min="14" max="16384" width="11.421875" style="2" customWidth="1"/>
  </cols>
  <sheetData>
    <row r="1" spans="1:13" ht="14.25" thickBot="1">
      <c r="A1" s="316" t="s">
        <v>54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8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5" ht="12.75">
      <c r="A3" s="315" t="s">
        <v>15</v>
      </c>
      <c r="B3" s="315"/>
      <c r="C3" s="315"/>
      <c r="D3" s="315"/>
      <c r="E3" s="315"/>
    </row>
    <row r="4" spans="1:5" ht="9" customHeight="1" thickBot="1">
      <c r="A4" s="14"/>
      <c r="B4" s="14"/>
      <c r="E4" s="14"/>
    </row>
    <row r="5" spans="1:13" ht="14.25" customHeight="1">
      <c r="A5" s="319" t="s">
        <v>123</v>
      </c>
      <c r="B5" s="311" t="s">
        <v>155</v>
      </c>
      <c r="C5" s="312"/>
      <c r="D5" s="313"/>
      <c r="E5" s="311">
        <v>2020</v>
      </c>
      <c r="F5" s="312"/>
      <c r="G5" s="313"/>
      <c r="H5" s="311">
        <v>2021</v>
      </c>
      <c r="I5" s="312"/>
      <c r="J5" s="313"/>
      <c r="K5" s="311">
        <v>2022</v>
      </c>
      <c r="L5" s="312"/>
      <c r="M5" s="313"/>
    </row>
    <row r="6" spans="1:13" ht="26.25" customHeight="1" thickBot="1">
      <c r="A6" s="320"/>
      <c r="B6" s="56" t="s">
        <v>12</v>
      </c>
      <c r="C6" s="57" t="s">
        <v>14</v>
      </c>
      <c r="D6" s="58" t="s">
        <v>13</v>
      </c>
      <c r="E6" s="56" t="s">
        <v>12</v>
      </c>
      <c r="F6" s="57" t="s">
        <v>14</v>
      </c>
      <c r="G6" s="58" t="s">
        <v>13</v>
      </c>
      <c r="H6" s="57" t="s">
        <v>12</v>
      </c>
      <c r="I6" s="57" t="s">
        <v>14</v>
      </c>
      <c r="J6" s="59" t="s">
        <v>13</v>
      </c>
      <c r="K6" s="56" t="s">
        <v>12</v>
      </c>
      <c r="L6" s="57" t="s">
        <v>14</v>
      </c>
      <c r="M6" s="58" t="s">
        <v>13</v>
      </c>
    </row>
    <row r="7" spans="1:16" s="12" customFormat="1" ht="25.5" customHeight="1">
      <c r="A7" s="38" t="s">
        <v>124</v>
      </c>
      <c r="B7" s="79"/>
      <c r="C7" s="80"/>
      <c r="D7" s="81"/>
      <c r="E7" s="79"/>
      <c r="F7" s="80"/>
      <c r="G7" s="81"/>
      <c r="H7" s="80"/>
      <c r="I7" s="80"/>
      <c r="J7" s="80"/>
      <c r="K7" s="79"/>
      <c r="L7" s="80"/>
      <c r="M7" s="81"/>
      <c r="O7" s="111" t="s">
        <v>55</v>
      </c>
      <c r="P7" s="111" t="s">
        <v>58</v>
      </c>
    </row>
    <row r="8" spans="1:17" ht="12.75">
      <c r="A8" s="39" t="s">
        <v>246</v>
      </c>
      <c r="B8" s="252"/>
      <c r="C8" s="83"/>
      <c r="D8" s="84"/>
      <c r="E8" s="300"/>
      <c r="F8" s="301"/>
      <c r="G8" s="302"/>
      <c r="H8" s="303"/>
      <c r="I8" s="301"/>
      <c r="J8" s="302"/>
      <c r="K8" s="303"/>
      <c r="L8" s="83"/>
      <c r="M8" s="84"/>
      <c r="O8" s="6" t="s">
        <v>56</v>
      </c>
      <c r="P8" s="284">
        <v>0.2</v>
      </c>
      <c r="Q8" s="285">
        <f>1+P8</f>
        <v>1.2</v>
      </c>
    </row>
    <row r="9" spans="1:17" ht="12.75">
      <c r="A9" s="42" t="s">
        <v>216</v>
      </c>
      <c r="B9" s="252"/>
      <c r="C9" s="83"/>
      <c r="D9" s="84"/>
      <c r="E9" s="300"/>
      <c r="F9" s="301"/>
      <c r="G9" s="302"/>
      <c r="H9" s="301"/>
      <c r="I9" s="301"/>
      <c r="J9" s="304"/>
      <c r="K9" s="300"/>
      <c r="L9" s="83"/>
      <c r="M9" s="84"/>
      <c r="O9" s="6" t="s">
        <v>213</v>
      </c>
      <c r="P9" s="284">
        <v>0.2</v>
      </c>
      <c r="Q9" s="285">
        <f>1+P9</f>
        <v>1.2</v>
      </c>
    </row>
    <row r="10" spans="1:17" ht="12.75">
      <c r="A10" s="39" t="s">
        <v>127</v>
      </c>
      <c r="B10" s="252"/>
      <c r="C10" s="83">
        <v>3</v>
      </c>
      <c r="D10" s="84">
        <f>B10/C10</f>
        <v>0</v>
      </c>
      <c r="E10" s="252"/>
      <c r="F10" s="83">
        <v>3</v>
      </c>
      <c r="G10" s="84">
        <f>E10/F10+D10</f>
        <v>0</v>
      </c>
      <c r="H10" s="299"/>
      <c r="I10" s="83">
        <v>3</v>
      </c>
      <c r="J10" s="85">
        <f>H10/I10+G10</f>
        <v>0</v>
      </c>
      <c r="K10" s="252"/>
      <c r="L10" s="83">
        <v>3</v>
      </c>
      <c r="M10" s="84">
        <f>K10/L10+J10</f>
        <v>0</v>
      </c>
      <c r="O10" s="6" t="s">
        <v>57</v>
      </c>
      <c r="P10" s="284">
        <v>0.2</v>
      </c>
      <c r="Q10" s="285">
        <f>1+P10</f>
        <v>1.2</v>
      </c>
    </row>
    <row r="11" spans="1:13" ht="12.75">
      <c r="A11" s="43" t="s">
        <v>241</v>
      </c>
      <c r="B11" s="252"/>
      <c r="C11" s="83">
        <v>7</v>
      </c>
      <c r="D11" s="84">
        <f>B11/C11</f>
        <v>0</v>
      </c>
      <c r="E11" s="252"/>
      <c r="F11" s="83">
        <v>7</v>
      </c>
      <c r="G11" s="84">
        <f>E11/F11+D11</f>
        <v>0</v>
      </c>
      <c r="H11" s="299"/>
      <c r="I11" s="83">
        <v>7</v>
      </c>
      <c r="J11" s="85">
        <f>H11/I11+G11</f>
        <v>0</v>
      </c>
      <c r="K11" s="252"/>
      <c r="L11" s="83">
        <v>7</v>
      </c>
      <c r="M11" s="84">
        <f>K11/L11+J11</f>
        <v>0</v>
      </c>
    </row>
    <row r="12" spans="1:13" ht="12.75">
      <c r="A12" s="43" t="s">
        <v>245</v>
      </c>
      <c r="B12" s="252"/>
      <c r="C12" s="83">
        <v>1</v>
      </c>
      <c r="D12" s="84">
        <f>B12/C12</f>
        <v>0</v>
      </c>
      <c r="E12" s="252"/>
      <c r="F12" s="83">
        <v>1</v>
      </c>
      <c r="G12" s="84">
        <f>E12/F12+D12</f>
        <v>0</v>
      </c>
      <c r="H12" s="299"/>
      <c r="I12" s="83">
        <v>1</v>
      </c>
      <c r="J12" s="85">
        <f>H12/I12</f>
        <v>0</v>
      </c>
      <c r="K12" s="252"/>
      <c r="L12" s="83">
        <v>1</v>
      </c>
      <c r="M12" s="84">
        <f>K12/L12+J12</f>
        <v>0</v>
      </c>
    </row>
    <row r="13" spans="1:13" ht="12.75">
      <c r="A13" s="39" t="s">
        <v>122</v>
      </c>
      <c r="B13" s="252"/>
      <c r="C13" s="83">
        <v>1</v>
      </c>
      <c r="D13" s="84">
        <f>B13/C13</f>
        <v>0</v>
      </c>
      <c r="E13" s="252"/>
      <c r="F13" s="83">
        <v>1</v>
      </c>
      <c r="G13" s="84">
        <f>E13/F13+D13</f>
        <v>0</v>
      </c>
      <c r="H13" s="299"/>
      <c r="I13" s="83">
        <v>1</v>
      </c>
      <c r="J13" s="85">
        <f>H13/I13</f>
        <v>0</v>
      </c>
      <c r="K13" s="252"/>
      <c r="L13" s="83">
        <v>1</v>
      </c>
      <c r="M13" s="84">
        <f>K13/L13+J13</f>
        <v>0</v>
      </c>
    </row>
    <row r="14" spans="1:13" ht="12.75">
      <c r="A14" s="39" t="s">
        <v>215</v>
      </c>
      <c r="B14" s="252"/>
      <c r="C14" s="83">
        <v>1</v>
      </c>
      <c r="D14" s="84">
        <f>B14/C14</f>
        <v>0</v>
      </c>
      <c r="E14" s="252"/>
      <c r="F14" s="83">
        <v>1</v>
      </c>
      <c r="G14" s="84">
        <f>E14/F14+D14</f>
        <v>0</v>
      </c>
      <c r="H14" s="299"/>
      <c r="I14" s="83">
        <v>1</v>
      </c>
      <c r="J14" s="85">
        <f>H14/I14</f>
        <v>0</v>
      </c>
      <c r="K14" s="252"/>
      <c r="L14" s="83">
        <v>7</v>
      </c>
      <c r="M14" s="84">
        <f>K14/L14+J14</f>
        <v>0</v>
      </c>
    </row>
    <row r="15" spans="1:13" ht="12.75">
      <c r="A15" s="38" t="s">
        <v>138</v>
      </c>
      <c r="B15" s="86">
        <f>SUM(B8:B14)</f>
        <v>0</v>
      </c>
      <c r="C15" s="87"/>
      <c r="D15" s="88"/>
      <c r="E15" s="86">
        <f>SUM(E8:E14)</f>
        <v>0</v>
      </c>
      <c r="F15" s="87"/>
      <c r="G15" s="88"/>
      <c r="H15" s="87">
        <f>SUM(H8:H14)</f>
        <v>0</v>
      </c>
      <c r="I15" s="87"/>
      <c r="J15" s="89"/>
      <c r="K15" s="86"/>
      <c r="L15" s="87"/>
      <c r="M15" s="88"/>
    </row>
    <row r="16" spans="1:13" ht="12.75">
      <c r="A16" s="40"/>
      <c r="B16" s="90"/>
      <c r="C16" s="91"/>
      <c r="D16" s="92"/>
      <c r="E16" s="90"/>
      <c r="F16" s="91"/>
      <c r="G16" s="92"/>
      <c r="H16" s="91"/>
      <c r="I16" s="91"/>
      <c r="J16" s="93"/>
      <c r="K16" s="90"/>
      <c r="L16" s="91"/>
      <c r="M16" s="92"/>
    </row>
    <row r="17" spans="1:13" ht="25.5" customHeight="1">
      <c r="A17" s="40" t="s">
        <v>125</v>
      </c>
      <c r="B17" s="94"/>
      <c r="C17" s="95"/>
      <c r="D17" s="96"/>
      <c r="E17" s="94"/>
      <c r="F17" s="95"/>
      <c r="G17" s="96"/>
      <c r="H17" s="95"/>
      <c r="I17" s="95"/>
      <c r="J17" s="95"/>
      <c r="K17" s="94"/>
      <c r="L17" s="95"/>
      <c r="M17" s="96"/>
    </row>
    <row r="18" spans="1:13" ht="12.75">
      <c r="A18" s="39" t="s">
        <v>121</v>
      </c>
      <c r="B18" s="252"/>
      <c r="C18" s="83">
        <v>10</v>
      </c>
      <c r="D18" s="84">
        <f aca="true" t="shared" si="0" ref="D18:D24">B18/C18</f>
        <v>0</v>
      </c>
      <c r="E18" s="252"/>
      <c r="F18" s="83">
        <v>10</v>
      </c>
      <c r="G18" s="84">
        <f>E18/F18+D18</f>
        <v>0</v>
      </c>
      <c r="H18" s="299"/>
      <c r="I18" s="83">
        <v>10</v>
      </c>
      <c r="J18" s="85">
        <f aca="true" t="shared" si="1" ref="J18:J23">H18/I18+G18</f>
        <v>0</v>
      </c>
      <c r="K18" s="252"/>
      <c r="L18" s="83">
        <v>10</v>
      </c>
      <c r="M18" s="84">
        <f>K18/L18+J18</f>
        <v>0</v>
      </c>
    </row>
    <row r="19" spans="1:13" ht="12.75">
      <c r="A19" s="39" t="s">
        <v>193</v>
      </c>
      <c r="B19" s="252"/>
      <c r="C19" s="83">
        <v>5</v>
      </c>
      <c r="D19" s="84">
        <f t="shared" si="0"/>
        <v>0</v>
      </c>
      <c r="E19" s="252"/>
      <c r="F19" s="83">
        <v>5</v>
      </c>
      <c r="G19" s="84">
        <f aca="true" t="shared" si="2" ref="G19:G24">E19/F19+D19</f>
        <v>0</v>
      </c>
      <c r="H19" s="299"/>
      <c r="I19" s="83">
        <v>5</v>
      </c>
      <c r="J19" s="85">
        <f t="shared" si="1"/>
        <v>0</v>
      </c>
      <c r="K19" s="252"/>
      <c r="L19" s="83">
        <v>5</v>
      </c>
      <c r="M19" s="84">
        <f aca="true" t="shared" si="3" ref="M19:M24">K19/L19+J19</f>
        <v>0</v>
      </c>
    </row>
    <row r="20" spans="1:13" ht="12.75">
      <c r="A20" s="39" t="s">
        <v>120</v>
      </c>
      <c r="B20" s="252"/>
      <c r="C20" s="83">
        <v>4</v>
      </c>
      <c r="D20" s="84">
        <f t="shared" si="0"/>
        <v>0</v>
      </c>
      <c r="E20" s="252"/>
      <c r="F20" s="83">
        <v>4</v>
      </c>
      <c r="G20" s="84">
        <f t="shared" si="2"/>
        <v>0</v>
      </c>
      <c r="H20" s="299"/>
      <c r="I20" s="83">
        <v>4</v>
      </c>
      <c r="J20" s="85">
        <f t="shared" si="1"/>
        <v>0</v>
      </c>
      <c r="K20" s="252"/>
      <c r="L20" s="83">
        <v>4</v>
      </c>
      <c r="M20" s="84">
        <f t="shared" si="3"/>
        <v>0</v>
      </c>
    </row>
    <row r="21" spans="1:13" ht="12.75">
      <c r="A21" s="39" t="s">
        <v>119</v>
      </c>
      <c r="B21" s="252"/>
      <c r="C21" s="83">
        <v>7</v>
      </c>
      <c r="D21" s="84">
        <f t="shared" si="0"/>
        <v>0</v>
      </c>
      <c r="E21" s="252"/>
      <c r="F21" s="83">
        <v>7</v>
      </c>
      <c r="G21" s="84">
        <f t="shared" si="2"/>
        <v>0</v>
      </c>
      <c r="H21" s="299"/>
      <c r="I21" s="83">
        <v>7</v>
      </c>
      <c r="J21" s="85">
        <f t="shared" si="1"/>
        <v>0</v>
      </c>
      <c r="K21" s="252"/>
      <c r="L21" s="83">
        <v>7</v>
      </c>
      <c r="M21" s="84">
        <f t="shared" si="3"/>
        <v>0</v>
      </c>
    </row>
    <row r="22" spans="1:13" ht="12.75">
      <c r="A22" s="39" t="s">
        <v>128</v>
      </c>
      <c r="B22" s="252"/>
      <c r="C22" s="83">
        <v>5</v>
      </c>
      <c r="D22" s="84">
        <f t="shared" si="0"/>
        <v>0</v>
      </c>
      <c r="E22" s="252"/>
      <c r="F22" s="83">
        <v>5</v>
      </c>
      <c r="G22" s="84">
        <f t="shared" si="2"/>
        <v>0</v>
      </c>
      <c r="H22" s="299"/>
      <c r="I22" s="83">
        <v>5</v>
      </c>
      <c r="J22" s="85">
        <f t="shared" si="1"/>
        <v>0</v>
      </c>
      <c r="K22" s="252"/>
      <c r="L22" s="83">
        <v>5</v>
      </c>
      <c r="M22" s="84">
        <f t="shared" si="3"/>
        <v>0</v>
      </c>
    </row>
    <row r="23" spans="1:13" ht="12.75">
      <c r="A23" s="39" t="s">
        <v>118</v>
      </c>
      <c r="B23" s="252"/>
      <c r="C23" s="83">
        <v>3</v>
      </c>
      <c r="D23" s="84">
        <f t="shared" si="0"/>
        <v>0</v>
      </c>
      <c r="E23" s="252"/>
      <c r="F23" s="83">
        <v>3</v>
      </c>
      <c r="G23" s="84">
        <f t="shared" si="2"/>
        <v>0</v>
      </c>
      <c r="H23" s="299"/>
      <c r="I23" s="83">
        <v>3</v>
      </c>
      <c r="J23" s="85">
        <f t="shared" si="1"/>
        <v>0</v>
      </c>
      <c r="K23" s="252"/>
      <c r="L23" s="83">
        <v>3</v>
      </c>
      <c r="M23" s="84">
        <f t="shared" si="3"/>
        <v>0</v>
      </c>
    </row>
    <row r="24" spans="1:13" ht="12.75">
      <c r="A24" s="39" t="s">
        <v>209</v>
      </c>
      <c r="B24" s="252"/>
      <c r="C24" s="83">
        <v>1</v>
      </c>
      <c r="D24" s="84">
        <f t="shared" si="0"/>
        <v>0</v>
      </c>
      <c r="E24" s="252"/>
      <c r="F24" s="83">
        <v>1</v>
      </c>
      <c r="G24" s="84">
        <f t="shared" si="2"/>
        <v>0</v>
      </c>
      <c r="H24" s="299"/>
      <c r="I24" s="83">
        <v>1</v>
      </c>
      <c r="J24" s="85">
        <f>H24/I24</f>
        <v>0</v>
      </c>
      <c r="K24" s="252"/>
      <c r="L24" s="83">
        <v>1</v>
      </c>
      <c r="M24" s="84">
        <f t="shared" si="3"/>
        <v>0</v>
      </c>
    </row>
    <row r="25" spans="1:13" ht="12.75">
      <c r="A25" s="38" t="s">
        <v>139</v>
      </c>
      <c r="B25" s="86">
        <f>SUM(B18:B24)</f>
        <v>0</v>
      </c>
      <c r="C25" s="83"/>
      <c r="D25" s="84"/>
      <c r="E25" s="86">
        <f>SUM(E18:E24)</f>
        <v>0</v>
      </c>
      <c r="F25" s="83"/>
      <c r="G25" s="84"/>
      <c r="H25" s="87">
        <f>SUM(H18:H24)</f>
        <v>0</v>
      </c>
      <c r="I25" s="83"/>
      <c r="J25" s="85"/>
      <c r="K25" s="86">
        <f>SUM(K18:K24)</f>
        <v>0</v>
      </c>
      <c r="L25" s="83"/>
      <c r="M25" s="84"/>
    </row>
    <row r="26" spans="1:13" ht="12.75">
      <c r="A26" s="38"/>
      <c r="B26" s="97"/>
      <c r="C26" s="98"/>
      <c r="D26" s="99"/>
      <c r="E26" s="97"/>
      <c r="F26" s="98"/>
      <c r="G26" s="99"/>
      <c r="H26" s="98"/>
      <c r="I26" s="98"/>
      <c r="J26" s="100"/>
      <c r="K26" s="97"/>
      <c r="L26" s="98"/>
      <c r="M26" s="99"/>
    </row>
    <row r="27" spans="1:13" ht="26.25" customHeight="1">
      <c r="A27" s="40" t="s">
        <v>126</v>
      </c>
      <c r="B27" s="94"/>
      <c r="C27" s="95"/>
      <c r="D27" s="96"/>
      <c r="E27" s="94"/>
      <c r="F27" s="95"/>
      <c r="G27" s="96"/>
      <c r="H27" s="95"/>
      <c r="I27" s="95"/>
      <c r="J27" s="95"/>
      <c r="K27" s="94"/>
      <c r="L27" s="95"/>
      <c r="M27" s="96"/>
    </row>
    <row r="28" spans="1:13" ht="12.75">
      <c r="A28" s="41" t="s">
        <v>129</v>
      </c>
      <c r="B28" s="252"/>
      <c r="C28" s="83"/>
      <c r="D28" s="84"/>
      <c r="E28" s="82"/>
      <c r="F28" s="83"/>
      <c r="G28" s="84"/>
      <c r="H28" s="83"/>
      <c r="I28" s="83"/>
      <c r="J28" s="85"/>
      <c r="K28" s="82"/>
      <c r="L28" s="83"/>
      <c r="M28" s="84"/>
    </row>
    <row r="29" spans="1:13" ht="12.75">
      <c r="A29" s="44" t="s">
        <v>117</v>
      </c>
      <c r="B29" s="307"/>
      <c r="C29" s="98"/>
      <c r="D29" s="99"/>
      <c r="E29" s="97"/>
      <c r="F29" s="98"/>
      <c r="G29" s="99"/>
      <c r="H29" s="98"/>
      <c r="I29" s="98"/>
      <c r="J29" s="100"/>
      <c r="K29" s="97"/>
      <c r="L29" s="98"/>
      <c r="M29" s="99"/>
    </row>
    <row r="30" spans="1:13" ht="12.75">
      <c r="A30" s="38" t="s">
        <v>140</v>
      </c>
      <c r="B30" s="101">
        <f>SUM(B28:B29)</f>
        <v>0</v>
      </c>
      <c r="C30" s="102"/>
      <c r="D30" s="103"/>
      <c r="E30" s="101">
        <f>SUM(E28:E29)</f>
        <v>0</v>
      </c>
      <c r="F30" s="102"/>
      <c r="G30" s="103"/>
      <c r="H30" s="102">
        <f>SUM(H28:H29)</f>
        <v>0</v>
      </c>
      <c r="I30" s="102"/>
      <c r="J30" s="104"/>
      <c r="K30" s="101">
        <f>SUM(K28:K29)</f>
        <v>0</v>
      </c>
      <c r="L30" s="102"/>
      <c r="M30" s="103"/>
    </row>
    <row r="31" spans="1:13" ht="13.5" thickBot="1">
      <c r="A31" s="45"/>
      <c r="B31" s="105"/>
      <c r="C31" s="106"/>
      <c r="D31" s="107"/>
      <c r="E31" s="105"/>
      <c r="F31" s="106"/>
      <c r="G31" s="107"/>
      <c r="H31" s="98"/>
      <c r="I31" s="98"/>
      <c r="J31" s="100"/>
      <c r="K31" s="105"/>
      <c r="L31" s="106"/>
      <c r="M31" s="107"/>
    </row>
    <row r="32" spans="1:13" s="12" customFormat="1" ht="20.25" customHeight="1" thickBot="1">
      <c r="A32" s="37" t="s">
        <v>130</v>
      </c>
      <c r="B32" s="108">
        <f>B15+B25+B30</f>
        <v>0</v>
      </c>
      <c r="C32" s="109"/>
      <c r="D32" s="110">
        <f>SUM(D10:D24)</f>
        <v>0</v>
      </c>
      <c r="E32" s="108">
        <f>E15+E25+E30</f>
        <v>0</v>
      </c>
      <c r="F32" s="109"/>
      <c r="G32" s="110">
        <f>SUM(G10:G24)</f>
        <v>0</v>
      </c>
      <c r="H32" s="108">
        <f>H15+H25+H30</f>
        <v>0</v>
      </c>
      <c r="I32" s="109"/>
      <c r="J32" s="110">
        <f>SUM(J10:J24)</f>
        <v>0</v>
      </c>
      <c r="K32" s="108">
        <f>K15+K25+K30</f>
        <v>0</v>
      </c>
      <c r="L32" s="109"/>
      <c r="M32" s="110">
        <f>SUM(M10:M24)</f>
        <v>0</v>
      </c>
    </row>
    <row r="33" spans="2:13" ht="7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6" ht="8.25" customHeight="1">
      <c r="A34" s="14"/>
      <c r="B34" s="15"/>
      <c r="C34" s="27"/>
      <c r="E34" s="15"/>
      <c r="F34" s="27"/>
    </row>
    <row r="35" spans="1:6" ht="12" customHeight="1">
      <c r="A35" s="52"/>
      <c r="B35" s="309"/>
      <c r="C35" s="309"/>
      <c r="E35" s="309"/>
      <c r="F35" s="309"/>
    </row>
    <row r="36" spans="1:6" ht="12.75">
      <c r="A36" s="27"/>
      <c r="B36" s="314"/>
      <c r="C36" s="314"/>
      <c r="E36" s="314"/>
      <c r="F36" s="314"/>
    </row>
    <row r="37" spans="1:6" ht="12.75">
      <c r="A37" s="27"/>
      <c r="B37" s="314"/>
      <c r="C37" s="314"/>
      <c r="E37" s="314"/>
      <c r="F37" s="314"/>
    </row>
    <row r="38" spans="1:9" ht="12.75">
      <c r="A38" s="310"/>
      <c r="B38" s="310"/>
      <c r="C38" s="310"/>
      <c r="D38" s="310"/>
      <c r="E38" s="310"/>
      <c r="F38" s="310"/>
      <c r="G38" s="310"/>
      <c r="H38" s="310"/>
      <c r="I38" s="310"/>
    </row>
    <row r="39" spans="1:6" ht="12.75">
      <c r="A39" s="48"/>
      <c r="B39" s="309"/>
      <c r="C39" s="309"/>
      <c r="E39" s="309"/>
      <c r="F39" s="309"/>
    </row>
    <row r="40" spans="1:6" ht="12.75">
      <c r="A40" s="27"/>
      <c r="B40" s="27"/>
      <c r="C40" s="27"/>
      <c r="E40" s="27"/>
      <c r="F40" s="27"/>
    </row>
    <row r="41" ht="7.5" customHeight="1"/>
  </sheetData>
  <sheetProtection/>
  <mergeCells count="16">
    <mergeCell ref="A3:E3"/>
    <mergeCell ref="E35:F35"/>
    <mergeCell ref="E36:F36"/>
    <mergeCell ref="E37:F37"/>
    <mergeCell ref="A1:M1"/>
    <mergeCell ref="A5:A6"/>
    <mergeCell ref="E5:G5"/>
    <mergeCell ref="H5:J5"/>
    <mergeCell ref="K5:M5"/>
    <mergeCell ref="B39:C39"/>
    <mergeCell ref="A38:I38"/>
    <mergeCell ref="B5:D5"/>
    <mergeCell ref="B35:C35"/>
    <mergeCell ref="B36:C36"/>
    <mergeCell ref="B37:C37"/>
    <mergeCell ref="E39:F39"/>
  </mergeCells>
  <printOptions/>
  <pageMargins left="0.72" right="0.47" top="0.31" bottom="0.24" header="0.37" footer="0.2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9">
      <selection activeCell="I54" sqref="I54"/>
    </sheetView>
  </sheetViews>
  <sheetFormatPr defaultColWidth="11.421875" defaultRowHeight="12.75"/>
  <cols>
    <col min="1" max="1" width="34.7109375" style="2" customWidth="1"/>
    <col min="2" max="2" width="12.8515625" style="7" customWidth="1"/>
    <col min="3" max="3" width="28.00390625" style="2" bestFit="1" customWidth="1"/>
    <col min="4" max="4" width="15.140625" style="2" customWidth="1"/>
    <col min="5" max="16384" width="11.421875" style="2" customWidth="1"/>
  </cols>
  <sheetData>
    <row r="1" spans="1:4" ht="15.75" thickBot="1">
      <c r="A1" s="324" t="s">
        <v>151</v>
      </c>
      <c r="B1" s="322"/>
      <c r="C1" s="322"/>
      <c r="D1" s="322"/>
    </row>
    <row r="2" spans="1:2" ht="12.75">
      <c r="A2" s="3"/>
      <c r="B2" s="3"/>
    </row>
    <row r="3" spans="1:4" ht="27" customHeight="1">
      <c r="A3" s="13" t="s">
        <v>0</v>
      </c>
      <c r="B3" s="29" t="str">
        <f>Immobilisations!B5</f>
        <v>Démarrage</v>
      </c>
      <c r="C3" s="13" t="s">
        <v>110</v>
      </c>
      <c r="D3" s="29" t="str">
        <f>Immobilisations!B5</f>
        <v>Démarrage</v>
      </c>
    </row>
    <row r="4" spans="1:4" ht="12.75">
      <c r="A4" s="26" t="s">
        <v>1</v>
      </c>
      <c r="B4" s="60"/>
      <c r="C4" s="11" t="s">
        <v>111</v>
      </c>
      <c r="D4" s="47"/>
    </row>
    <row r="5" spans="1:4" ht="12.75">
      <c r="A5" s="28" t="str">
        <f>Immobilisations!A8</f>
        <v> Cession de parts</v>
      </c>
      <c r="B5" s="61">
        <f>Immobilisations!B8+Immobilisations!E8</f>
        <v>0</v>
      </c>
      <c r="C5" s="5" t="s">
        <v>217</v>
      </c>
      <c r="D5" s="241"/>
    </row>
    <row r="6" spans="1:4" ht="12.75">
      <c r="A6" s="28" t="str">
        <f>Immobilisations!A9</f>
        <v> Frais de cession</v>
      </c>
      <c r="B6" s="61">
        <f>Immobilisations!B9+Immobilisations!E9</f>
        <v>0</v>
      </c>
      <c r="C6" s="5" t="s">
        <v>10</v>
      </c>
      <c r="D6" s="241"/>
    </row>
    <row r="7" spans="1:4" ht="12.75">
      <c r="A7" s="28" t="str">
        <f>Immobilisations!A10</f>
        <v> Frais d’établissement</v>
      </c>
      <c r="B7" s="61">
        <f>Immobilisations!B10+Immobilisations!E10</f>
        <v>0</v>
      </c>
      <c r="C7" s="5" t="s">
        <v>11</v>
      </c>
      <c r="D7" s="241"/>
    </row>
    <row r="8" spans="1:4" ht="12.75">
      <c r="A8" s="28" t="str">
        <f>Immobilisations!A11</f>
        <v> Droit d'entrée</v>
      </c>
      <c r="B8" s="61">
        <f>Immobilisations!B11+Immobilisations!E11</f>
        <v>0</v>
      </c>
      <c r="C8" s="5"/>
      <c r="D8" s="67"/>
    </row>
    <row r="9" spans="1:4" ht="12.75">
      <c r="A9" s="28" t="str">
        <f>Immobilisations!A12</f>
        <v> Communication</v>
      </c>
      <c r="B9" s="61">
        <f>Immobilisations!B12+Immobilisations!E12</f>
        <v>0</v>
      </c>
      <c r="C9" s="5" t="s">
        <v>16</v>
      </c>
      <c r="D9" s="241"/>
    </row>
    <row r="10" spans="1:4" ht="12.75">
      <c r="A10" s="28" t="str">
        <f>Immobilisations!A13</f>
        <v> Logiciel</v>
      </c>
      <c r="B10" s="61">
        <f>Immobilisations!B13+Immobilisations!E13</f>
        <v>0</v>
      </c>
      <c r="C10" s="5" t="s">
        <v>242</v>
      </c>
      <c r="D10" s="241"/>
    </row>
    <row r="11" spans="1:4" ht="12.75">
      <c r="A11" s="28" t="str">
        <f>Immobilisations!A14</f>
        <v> Honoraires</v>
      </c>
      <c r="B11" s="61">
        <f>Immobilisations!B14+Immobilisations!E14</f>
        <v>0</v>
      </c>
      <c r="C11" s="5"/>
      <c r="D11" s="61"/>
    </row>
    <row r="12" spans="1:4" ht="12.75">
      <c r="A12" s="30" t="s">
        <v>194</v>
      </c>
      <c r="B12" s="62">
        <f>SUM(B5:B11)</f>
        <v>0</v>
      </c>
      <c r="C12" s="4" t="s">
        <v>112</v>
      </c>
      <c r="D12" s="62">
        <f>SUM(D5:D11)</f>
        <v>0</v>
      </c>
    </row>
    <row r="13" spans="1:4" ht="12.75">
      <c r="A13" s="28"/>
      <c r="B13" s="62"/>
      <c r="C13" s="5"/>
      <c r="D13" s="62"/>
    </row>
    <row r="14" spans="1:4" s="12" customFormat="1" ht="21" customHeight="1">
      <c r="A14" s="26" t="s">
        <v>2</v>
      </c>
      <c r="B14" s="60"/>
      <c r="C14" s="11" t="s">
        <v>113</v>
      </c>
      <c r="D14" s="60"/>
    </row>
    <row r="15" spans="1:4" ht="12.75">
      <c r="A15" s="28" t="str">
        <f>Immobilisations!A18</f>
        <v> Agencement, aménagement</v>
      </c>
      <c r="B15" s="61">
        <f>Immobilisations!B18+Immobilisations!E18</f>
        <v>0</v>
      </c>
      <c r="C15" s="5" t="s">
        <v>243</v>
      </c>
      <c r="D15" s="241"/>
    </row>
    <row r="16" spans="1:4" ht="12.75">
      <c r="A16" s="28" t="str">
        <f>Immobilisations!A19</f>
        <v> Matériel / outillage</v>
      </c>
      <c r="B16" s="61">
        <f>Immobilisations!B19+Immobilisations!E19</f>
        <v>0</v>
      </c>
      <c r="C16" s="5" t="s">
        <v>17</v>
      </c>
      <c r="D16" s="241"/>
    </row>
    <row r="17" spans="1:4" ht="12.75">
      <c r="A17" s="28" t="str">
        <f>Immobilisations!A20</f>
        <v> Véhicule </v>
      </c>
      <c r="B17" s="61">
        <f>Immobilisations!B20+Immobilisations!E20</f>
        <v>0</v>
      </c>
      <c r="C17" s="6" t="s">
        <v>18</v>
      </c>
      <c r="D17" s="241"/>
    </row>
    <row r="18" spans="1:4" ht="12.75">
      <c r="A18" s="28" t="str">
        <f>Immobilisations!A21</f>
        <v> Mobilier</v>
      </c>
      <c r="B18" s="61">
        <f>Immobilisations!B21+Immobilisations!E21</f>
        <v>0</v>
      </c>
      <c r="C18" s="6" t="s">
        <v>9</v>
      </c>
      <c r="D18" s="241"/>
    </row>
    <row r="19" spans="1:4" ht="12.75" customHeight="1">
      <c r="A19" s="28" t="str">
        <f>Immobilisations!A22</f>
        <v> Bureautique (tél, photocopieur...)</v>
      </c>
      <c r="B19" s="61">
        <f>Immobilisations!B22+Immobilisations!E22</f>
        <v>0</v>
      </c>
      <c r="C19" s="5"/>
      <c r="D19" s="61"/>
    </row>
    <row r="20" spans="1:4" ht="12.75">
      <c r="A20" s="28" t="str">
        <f>Immobilisations!A23</f>
        <v> Informatique</v>
      </c>
      <c r="B20" s="61">
        <f>Immobilisations!B23+Immobilisations!E23</f>
        <v>0</v>
      </c>
      <c r="C20" s="4"/>
      <c r="D20" s="61"/>
    </row>
    <row r="21" spans="1:4" ht="12.75">
      <c r="A21" s="28" t="str">
        <f>Immobilisations!A24</f>
        <v> Autres</v>
      </c>
      <c r="B21" s="61">
        <f>Immobilisations!B24+Immobilisations!E24</f>
        <v>0</v>
      </c>
      <c r="C21" s="5"/>
      <c r="D21" s="61"/>
    </row>
    <row r="22" spans="1:4" ht="12.75">
      <c r="A22" s="30" t="s">
        <v>195</v>
      </c>
      <c r="B22" s="62">
        <f>SUM(B15:B21)</f>
        <v>0</v>
      </c>
      <c r="C22" s="4" t="s">
        <v>132</v>
      </c>
      <c r="D22" s="62">
        <f>SUM(D15:D21)</f>
        <v>0</v>
      </c>
    </row>
    <row r="23" spans="1:4" ht="12.75">
      <c r="A23" s="28"/>
      <c r="B23" s="62"/>
      <c r="C23" s="5"/>
      <c r="D23" s="62"/>
    </row>
    <row r="24" spans="1:4" s="12" customFormat="1" ht="21" customHeight="1">
      <c r="A24" s="26" t="s">
        <v>3</v>
      </c>
      <c r="B24" s="60"/>
      <c r="C24" s="11" t="s">
        <v>114</v>
      </c>
      <c r="D24" s="60"/>
    </row>
    <row r="25" spans="1:4" ht="12.75">
      <c r="A25" s="28" t="str">
        <f>Immobilisations!A28</f>
        <v> Dépôt de garantie</v>
      </c>
      <c r="B25" s="61">
        <f>Immobilisations!B28</f>
        <v>0</v>
      </c>
      <c r="C25" s="5" t="s">
        <v>21</v>
      </c>
      <c r="D25" s="241"/>
    </row>
    <row r="26" spans="1:4" ht="12.75">
      <c r="A26" s="28" t="str">
        <f>Immobilisations!A29</f>
        <v> Garanties professionnelles</v>
      </c>
      <c r="B26" s="61">
        <f>Immobilisations!B29</f>
        <v>0</v>
      </c>
      <c r="C26" s="5" t="s">
        <v>20</v>
      </c>
      <c r="D26" s="241"/>
    </row>
    <row r="27" spans="1:4" ht="12.75">
      <c r="A27" s="30" t="s">
        <v>196</v>
      </c>
      <c r="B27" s="62">
        <f>SUM(B25:B26)</f>
        <v>0</v>
      </c>
      <c r="C27" s="5" t="s">
        <v>19</v>
      </c>
      <c r="D27" s="61"/>
    </row>
    <row r="28" spans="1:4" ht="12.75">
      <c r="A28" s="28" t="s">
        <v>229</v>
      </c>
      <c r="B28" s="67">
        <f>C62</f>
        <v>0</v>
      </c>
      <c r="C28" s="4" t="s">
        <v>115</v>
      </c>
      <c r="D28" s="62">
        <f>SUM(D25:D27)</f>
        <v>0</v>
      </c>
    </row>
    <row r="29" spans="1:4" ht="12.75">
      <c r="A29" s="28" t="s">
        <v>197</v>
      </c>
      <c r="B29" s="241"/>
      <c r="C29" s="5"/>
      <c r="D29" s="5"/>
    </row>
    <row r="30" spans="1:4" ht="12.75">
      <c r="A30" s="28" t="s">
        <v>198</v>
      </c>
      <c r="B30" s="67">
        <f>(B7+B9+B10+B11+B22)*Immobilisations!P9+B29*Immobilisations!P8</f>
        <v>0</v>
      </c>
      <c r="C30" s="4" t="s">
        <v>25</v>
      </c>
      <c r="D30" s="253"/>
    </row>
    <row r="31" spans="1:4" ht="12.75">
      <c r="A31" s="5" t="s">
        <v>199</v>
      </c>
      <c r="B31" s="298">
        <f>D34-B12-B22-B27-B28-B29-B30</f>
        <v>0</v>
      </c>
      <c r="C31" s="5"/>
      <c r="D31" s="62"/>
    </row>
    <row r="32" spans="1:4" ht="12.75">
      <c r="A32" s="4" t="s">
        <v>145</v>
      </c>
      <c r="B32" s="62">
        <f>SUM(B28:B31)</f>
        <v>0</v>
      </c>
      <c r="C32" s="4"/>
      <c r="D32" s="47"/>
    </row>
    <row r="33" spans="1:4" ht="12.75">
      <c r="A33" s="5"/>
      <c r="B33" s="50"/>
      <c r="C33" s="5"/>
      <c r="D33" s="62"/>
    </row>
    <row r="34" spans="1:4" s="12" customFormat="1" ht="35.25" customHeight="1">
      <c r="A34" s="11" t="s">
        <v>4</v>
      </c>
      <c r="B34" s="63">
        <f>B12+B22+B27+B32</f>
        <v>0</v>
      </c>
      <c r="C34" s="11" t="s">
        <v>116</v>
      </c>
      <c r="D34" s="63">
        <f>D30+D28+D22+D12</f>
        <v>0</v>
      </c>
    </row>
    <row r="35" ht="12.75"/>
    <row r="36" spans="1:4" s="9" customFormat="1" ht="12.75">
      <c r="A36" s="8"/>
      <c r="B36" s="3"/>
      <c r="C36" s="240" t="s">
        <v>212</v>
      </c>
      <c r="D36" s="9">
        <v>360</v>
      </c>
    </row>
    <row r="37" spans="1:2" s="9" customFormat="1" ht="12.75">
      <c r="A37" s="8"/>
      <c r="B37" s="10"/>
    </row>
    <row r="38" s="9" customFormat="1" ht="12.75">
      <c r="B38" s="10"/>
    </row>
    <row r="39" spans="1:2" s="9" customFormat="1" ht="12.75">
      <c r="A39" s="1"/>
      <c r="B39" s="10"/>
    </row>
    <row r="40" spans="1:2" s="9" customFormat="1" ht="13.5" thickBot="1">
      <c r="A40" s="1"/>
      <c r="B40" s="10"/>
    </row>
    <row r="41" spans="1:4" s="9" customFormat="1" ht="15.75" thickBot="1">
      <c r="A41" s="321" t="s">
        <v>230</v>
      </c>
      <c r="B41" s="322"/>
      <c r="C41" s="322"/>
      <c r="D41" s="323"/>
    </row>
    <row r="42" spans="1:6" s="9" customFormat="1" ht="14.25">
      <c r="A42" s="112"/>
      <c r="B42" s="113"/>
      <c r="C42" s="114"/>
      <c r="D42" s="113"/>
      <c r="E42" s="114"/>
      <c r="F42" s="114"/>
    </row>
    <row r="43" spans="1:6" s="9" customFormat="1" ht="12.75">
      <c r="A43" s="117"/>
      <c r="B43" s="115"/>
      <c r="C43" s="116" t="s">
        <v>155</v>
      </c>
      <c r="D43" s="116">
        <f>'Plan de financement 3 ans'!B3</f>
        <v>2020</v>
      </c>
      <c r="E43" s="116">
        <f>'Plan de financement 3 ans'!C3</f>
        <v>2021</v>
      </c>
      <c r="F43" s="116">
        <f>'Plan de financement 3 ans'!D3</f>
        <v>2022</v>
      </c>
    </row>
    <row r="44" spans="1:6" s="9" customFormat="1" ht="12.75">
      <c r="A44" s="118" t="s">
        <v>231</v>
      </c>
      <c r="B44" s="119"/>
      <c r="C44" s="120"/>
      <c r="D44" s="120"/>
      <c r="E44" s="120"/>
      <c r="F44" s="120"/>
    </row>
    <row r="45" spans="1:6" s="9" customFormat="1" ht="12.75">
      <c r="A45" s="121"/>
      <c r="B45" s="122"/>
      <c r="C45" s="123"/>
      <c r="D45" s="123"/>
      <c r="E45" s="123"/>
      <c r="F45" s="123"/>
    </row>
    <row r="46" spans="1:6" s="9" customFormat="1" ht="12.75">
      <c r="A46" s="124" t="s">
        <v>156</v>
      </c>
      <c r="B46" s="125"/>
      <c r="C46" s="126"/>
      <c r="D46" s="126"/>
      <c r="E46" s="126"/>
      <c r="F46" s="126"/>
    </row>
    <row r="47" spans="1:6" s="9" customFormat="1" ht="12.75">
      <c r="A47" s="121" t="str">
        <f>'Détail du Chiffre d''affaires'!A6</f>
        <v> Produit / service 1</v>
      </c>
      <c r="B47" s="272">
        <v>0</v>
      </c>
      <c r="C47" s="123">
        <f>(SUM('Détail du Chiffre d''affaires'!B6:D6))*Immobilisations!Q10*'Plan de financement démarrage'!B47/90</f>
        <v>0</v>
      </c>
      <c r="D47" s="123">
        <f>'Détail du Chiffre d''affaires'!N6*Immobilisations!Q10*'Plan de financement démarrage'!B47/D36</f>
        <v>0</v>
      </c>
      <c r="E47" s="123">
        <f>'Détail du Chiffre d''affaires'!Q6*Immobilisations!Q10*'Plan de financement démarrage'!B47/360</f>
        <v>0</v>
      </c>
      <c r="F47" s="123">
        <f>'Détail du Chiffre d''affaires'!R6*Immobilisations!Q10*'Plan de financement démarrage'!B47/360</f>
        <v>0</v>
      </c>
    </row>
    <row r="48" spans="1:6" s="9" customFormat="1" ht="12.75">
      <c r="A48" s="121" t="str">
        <f>'Détail du Chiffre d''affaires'!A10</f>
        <v> Produit / service 2</v>
      </c>
      <c r="B48" s="272">
        <v>0</v>
      </c>
      <c r="C48" s="123">
        <f>(SUM('Détail du Chiffre d''affaires'!B10:D10))*Immobilisations!Q10*'Plan de financement démarrage'!B48/90</f>
        <v>0</v>
      </c>
      <c r="D48" s="123">
        <f>'Détail du Chiffre d''affaires'!N10*Immobilisations!Q10*'Plan de financement démarrage'!B48/D36</f>
        <v>0</v>
      </c>
      <c r="E48" s="123">
        <f>'Détail du Chiffre d''affaires'!Q10*Immobilisations!Q10*'Plan de financement démarrage'!B48/360</f>
        <v>0</v>
      </c>
      <c r="F48" s="123">
        <f>'Détail du Chiffre d''affaires'!R10*Immobilisations!Q10*'Plan de financement démarrage'!B48/360</f>
        <v>0</v>
      </c>
    </row>
    <row r="49" spans="1:6" s="9" customFormat="1" ht="12.75">
      <c r="A49" s="121" t="str">
        <f>'Détail du Chiffre d''affaires'!A14</f>
        <v> Produit / service 3</v>
      </c>
      <c r="B49" s="272">
        <v>0</v>
      </c>
      <c r="C49" s="123">
        <f>(SUM('Détail du Chiffre d''affaires'!B14:D14))*Immobilisations!Q10*'Plan de financement démarrage'!B49/90</f>
        <v>0</v>
      </c>
      <c r="D49" s="123">
        <f>'Détail du Chiffre d''affaires'!N14*Immobilisations!Q10*'Plan de financement démarrage'!B49/D36</f>
        <v>0</v>
      </c>
      <c r="E49" s="123">
        <f>'Détail du Chiffre d''affaires'!Q14*Immobilisations!Q10*'Plan de financement démarrage'!B49/360</f>
        <v>0</v>
      </c>
      <c r="F49" s="123">
        <f>'Détail du Chiffre d''affaires'!R14*Immobilisations!Q10*'Plan de financement démarrage'!B49/360</f>
        <v>0</v>
      </c>
    </row>
    <row r="50" spans="1:6" s="9" customFormat="1" ht="12.75">
      <c r="A50" s="121" t="str">
        <f>'Détail du Chiffre d''affaires'!A18</f>
        <v> Produit / service 4</v>
      </c>
      <c r="B50" s="272">
        <v>0</v>
      </c>
      <c r="C50" s="123">
        <f>(SUM('Détail du Chiffre d''affaires'!B18:D18))*Immobilisations!Q10*'Plan de financement démarrage'!B50/90</f>
        <v>0</v>
      </c>
      <c r="D50" s="123">
        <f>'Détail du Chiffre d''affaires'!N18*Immobilisations!Q10*'Plan de financement démarrage'!B50/D36</f>
        <v>0</v>
      </c>
      <c r="E50" s="123">
        <f>'Détail du Chiffre d''affaires'!Q18*Immobilisations!Q10*'Plan de financement démarrage'!B50/360</f>
        <v>0</v>
      </c>
      <c r="F50" s="123">
        <f>'Détail du Chiffre d''affaires'!R18*Immobilisations!Q10*'Plan de financement démarrage'!B50/360</f>
        <v>0</v>
      </c>
    </row>
    <row r="51" spans="1:6" s="9" customFormat="1" ht="12.75">
      <c r="A51" s="121"/>
      <c r="B51" s="122"/>
      <c r="C51" s="123"/>
      <c r="D51" s="123"/>
      <c r="E51" s="123"/>
      <c r="F51" s="123"/>
    </row>
    <row r="52" spans="1:6" s="9" customFormat="1" ht="12.75">
      <c r="A52" s="124" t="s">
        <v>4</v>
      </c>
      <c r="B52" s="125"/>
      <c r="C52" s="126">
        <f>SUM(C47:C50)</f>
        <v>0</v>
      </c>
      <c r="D52" s="126">
        <f>SUM(D47:D50)</f>
        <v>0</v>
      </c>
      <c r="E52" s="126">
        <f>SUM(E47:E50)</f>
        <v>0</v>
      </c>
      <c r="F52" s="126">
        <f>SUM(F47:F50)</f>
        <v>0</v>
      </c>
    </row>
    <row r="53" spans="1:6" s="9" customFormat="1" ht="12.75">
      <c r="A53" s="127"/>
      <c r="B53" s="128"/>
      <c r="C53" s="129"/>
      <c r="D53" s="129"/>
      <c r="E53" s="129"/>
      <c r="F53" s="129"/>
    </row>
    <row r="54" spans="1:6" s="9" customFormat="1" ht="12.75">
      <c r="A54" s="118" t="s">
        <v>164</v>
      </c>
      <c r="B54" s="119"/>
      <c r="C54" s="120"/>
      <c r="D54" s="120"/>
      <c r="E54" s="120"/>
      <c r="F54" s="120"/>
    </row>
    <row r="55" spans="1:6" s="9" customFormat="1" ht="12.75">
      <c r="A55" s="121"/>
      <c r="B55" s="122"/>
      <c r="C55" s="123"/>
      <c r="D55" s="123"/>
      <c r="E55" s="123"/>
      <c r="F55" s="123"/>
    </row>
    <row r="56" spans="1:6" ht="12.75">
      <c r="A56" s="124" t="s">
        <v>157</v>
      </c>
      <c r="B56" s="125"/>
      <c r="C56" s="126"/>
      <c r="D56" s="126"/>
      <c r="E56" s="126"/>
      <c r="F56" s="126"/>
    </row>
    <row r="57" spans="1:6" ht="12.75">
      <c r="A57" s="121" t="s">
        <v>158</v>
      </c>
      <c r="B57" s="272">
        <v>0</v>
      </c>
      <c r="C57" s="123">
        <f>'Détail du Chiffre d''affaires'!B53*Immobilisations!Q8*B57/360</f>
        <v>0</v>
      </c>
      <c r="D57" s="123">
        <f>'Détail du Chiffre d''affaires'!N53*Immobilisations!Q8*B57/360</f>
        <v>0</v>
      </c>
      <c r="E57" s="123">
        <f>'Détail du Chiffre d''affaires'!Q53*Immobilisations!Q8*B57/360</f>
        <v>0</v>
      </c>
      <c r="F57" s="123">
        <f>'Détail du Chiffre d''affaires'!R53*Immobilisations!Q8*B57/360</f>
        <v>0</v>
      </c>
    </row>
    <row r="58" spans="1:6" ht="12.75">
      <c r="A58" s="121" t="s">
        <v>159</v>
      </c>
      <c r="B58" s="272">
        <v>0</v>
      </c>
      <c r="C58" s="123">
        <f>'Détail du Chiffre d''affaires'!B55*Immobilisations!Q9*B58/360</f>
        <v>0</v>
      </c>
      <c r="D58" s="123">
        <f>('Détail du Chiffre d''affaires'!N29+'Détail du Chiffre d''affaires'!N33+'Détail du Chiffre d''affaires'!N37+'Détail du Chiffre d''affaires'!N41)*Immobilisations!Q9*B58/360</f>
        <v>0</v>
      </c>
      <c r="E58" s="123">
        <f>('Détail du Chiffre d''affaires'!Q29+'Détail du Chiffre d''affaires'!Q33+'Détail du Chiffre d''affaires'!Q37+'Détail du Chiffre d''affaires'!Q41)*Immobilisations!Q9*'Plan de financement démarrage'!B58/360</f>
        <v>0</v>
      </c>
      <c r="F58" s="123">
        <f>('Détail du Chiffre d''affaires'!R29+'Détail du Chiffre d''affaires'!R33+'Détail du Chiffre d''affaires'!R37+'Détail du Chiffre d''affaires'!R41)*Immobilisations!Q9*'Plan de financement démarrage'!B58/360</f>
        <v>0</v>
      </c>
    </row>
    <row r="59" spans="1:6" ht="12.75">
      <c r="A59" s="121"/>
      <c r="B59" s="122"/>
      <c r="C59" s="123"/>
      <c r="D59" s="123"/>
      <c r="E59" s="123"/>
      <c r="F59" s="123"/>
    </row>
    <row r="60" spans="1:6" ht="12.75">
      <c r="A60" s="130"/>
      <c r="B60" s="131"/>
      <c r="C60" s="132"/>
      <c r="D60" s="132"/>
      <c r="E60" s="132"/>
      <c r="F60" s="132"/>
    </row>
    <row r="61" spans="1:6" ht="12.75">
      <c r="A61" s="133" t="s">
        <v>160</v>
      </c>
      <c r="B61" s="134"/>
      <c r="C61" s="135">
        <f>SUM(C57:C58)</f>
        <v>0</v>
      </c>
      <c r="D61" s="135">
        <f>SUM(D57:D58)</f>
        <v>0</v>
      </c>
      <c r="E61" s="135">
        <f>SUM(E57:E58)</f>
        <v>0</v>
      </c>
      <c r="F61" s="135">
        <f>SUM(F57:F58)</f>
        <v>0</v>
      </c>
    </row>
    <row r="62" spans="1:6" ht="12.75">
      <c r="A62" s="136" t="s">
        <v>161</v>
      </c>
      <c r="B62" s="137"/>
      <c r="C62" s="138">
        <f>C52-C61</f>
        <v>0</v>
      </c>
      <c r="D62" s="138">
        <f>D52-D61</f>
        <v>0</v>
      </c>
      <c r="E62" s="138">
        <f>E52-E61</f>
        <v>0</v>
      </c>
      <c r="F62" s="138">
        <f>F52-F61</f>
        <v>0</v>
      </c>
    </row>
    <row r="63" spans="1:6" ht="12.75">
      <c r="A63" s="136" t="s">
        <v>162</v>
      </c>
      <c r="B63" s="137"/>
      <c r="C63" s="138"/>
      <c r="D63" s="138">
        <f>D62-C62</f>
        <v>0</v>
      </c>
      <c r="E63" s="138">
        <f>E62-D62</f>
        <v>0</v>
      </c>
      <c r="F63" s="138">
        <f>-E62+F62</f>
        <v>0</v>
      </c>
    </row>
    <row r="64" spans="1:6" ht="12.75">
      <c r="A64" s="325"/>
      <c r="B64" s="326"/>
      <c r="C64" s="326"/>
      <c r="D64" s="326"/>
      <c r="E64" s="326"/>
      <c r="F64" s="327"/>
    </row>
    <row r="65" spans="1:6" ht="12.75">
      <c r="A65" s="133" t="s">
        <v>163</v>
      </c>
      <c r="B65" s="271">
        <v>0</v>
      </c>
      <c r="C65" s="135">
        <f>B29*Immobilisations!Q8</f>
        <v>0</v>
      </c>
      <c r="D65" s="135">
        <f>$B$65*'Détail du Chiffre d''affaires'!N53/D36</f>
        <v>0</v>
      </c>
      <c r="E65" s="135">
        <f>$B$65*'Détail du Chiffre d''affaires'!Q53/360</f>
        <v>0</v>
      </c>
      <c r="F65" s="135">
        <f>$B$65*'Détail du Chiffre d''affaires'!R53/360</f>
        <v>0</v>
      </c>
    </row>
    <row r="66" spans="1:6" ht="12.75">
      <c r="A66" s="269"/>
      <c r="B66" s="270"/>
      <c r="C66" s="269"/>
      <c r="D66" s="269"/>
      <c r="E66" s="269"/>
      <c r="F66" s="269"/>
    </row>
    <row r="67" s="9" customFormat="1" ht="12.75"/>
    <row r="68" s="9" customFormat="1" ht="12.75"/>
  </sheetData>
  <sheetProtection/>
  <mergeCells count="3">
    <mergeCell ref="A41:D41"/>
    <mergeCell ref="A1:D1"/>
    <mergeCell ref="A64:F64"/>
  </mergeCells>
  <printOptions/>
  <pageMargins left="0.72" right="0.47" top="0.31" bottom="0.24" header="0.37" footer="0.23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4">
      <selection activeCell="D32" sqref="D32"/>
    </sheetView>
  </sheetViews>
  <sheetFormatPr defaultColWidth="11.421875" defaultRowHeight="12.75"/>
  <cols>
    <col min="1" max="1" width="26.7109375" style="2" customWidth="1"/>
    <col min="2" max="2" width="10.140625" style="7" customWidth="1"/>
    <col min="3" max="4" width="8.7109375" style="2" customWidth="1"/>
    <col min="5" max="5" width="28.00390625" style="2" bestFit="1" customWidth="1"/>
    <col min="6" max="6" width="9.421875" style="2" customWidth="1"/>
    <col min="7" max="8" width="8.7109375" style="2" customWidth="1"/>
    <col min="9" max="16384" width="11.421875" style="2" customWidth="1"/>
  </cols>
  <sheetData>
    <row r="1" spans="1:8" ht="15" thickBot="1">
      <c r="A1" s="324" t="s">
        <v>135</v>
      </c>
      <c r="B1" s="322"/>
      <c r="C1" s="322"/>
      <c r="D1" s="322"/>
      <c r="E1" s="322"/>
      <c r="F1" s="322"/>
      <c r="G1" s="322"/>
      <c r="H1" s="323"/>
    </row>
    <row r="2" spans="1:2" ht="12.75">
      <c r="A2" s="3"/>
      <c r="B2" s="3"/>
    </row>
    <row r="3" spans="1:8" ht="27" customHeight="1">
      <c r="A3" s="13" t="s">
        <v>0</v>
      </c>
      <c r="B3" s="29">
        <f>Immobilisations!E5</f>
        <v>2020</v>
      </c>
      <c r="C3" s="29">
        <f>Immobilisations!H5</f>
        <v>2021</v>
      </c>
      <c r="D3" s="29">
        <f>Immobilisations!K5</f>
        <v>2022</v>
      </c>
      <c r="E3" s="13" t="s">
        <v>110</v>
      </c>
      <c r="F3" s="29">
        <f>Immobilisations!E5</f>
        <v>2020</v>
      </c>
      <c r="G3" s="29">
        <f>Immobilisations!H5</f>
        <v>2021</v>
      </c>
      <c r="H3" s="29">
        <f>Immobilisations!K5</f>
        <v>2022</v>
      </c>
    </row>
    <row r="4" spans="1:8" ht="26.25">
      <c r="A4" s="26" t="s">
        <v>1</v>
      </c>
      <c r="B4" s="331"/>
      <c r="C4" s="332"/>
      <c r="D4" s="333"/>
      <c r="E4" s="11" t="s">
        <v>111</v>
      </c>
      <c r="F4" s="334"/>
      <c r="G4" s="335"/>
      <c r="H4" s="336"/>
    </row>
    <row r="5" spans="1:8" ht="12.75">
      <c r="A5" s="28" t="str">
        <f>Immobilisations!A8</f>
        <v> Cession de parts</v>
      </c>
      <c r="B5" s="61">
        <f>Immobilisations!E8+Immobilisations!B8</f>
        <v>0</v>
      </c>
      <c r="C5" s="61">
        <f>Immobilisations!H8</f>
        <v>0</v>
      </c>
      <c r="D5" s="61">
        <f>Immobilisations!K8</f>
        <v>0</v>
      </c>
      <c r="E5" s="5" t="str">
        <f>'Plan de financement démarrage'!C5</f>
        <v>Apport en capital</v>
      </c>
      <c r="F5" s="61">
        <f>'Plan de financement démarrage'!D5</f>
        <v>0</v>
      </c>
      <c r="G5" s="61"/>
      <c r="H5" s="61"/>
    </row>
    <row r="6" spans="1:8" ht="12.75">
      <c r="A6" s="28" t="str">
        <f>Immobilisations!A9</f>
        <v> Frais de cession</v>
      </c>
      <c r="B6" s="61">
        <f>Immobilisations!E9+Immobilisations!B9</f>
        <v>0</v>
      </c>
      <c r="C6" s="61">
        <f>Immobilisations!H9</f>
        <v>0</v>
      </c>
      <c r="D6" s="61">
        <f>Immobilisations!K9</f>
        <v>0</v>
      </c>
      <c r="E6" s="5" t="str">
        <f>'Plan de financement démarrage'!C6</f>
        <v>Apport en nature</v>
      </c>
      <c r="F6" s="61">
        <f>'Plan de financement démarrage'!D6</f>
        <v>0</v>
      </c>
      <c r="G6" s="61"/>
      <c r="H6" s="61"/>
    </row>
    <row r="7" spans="1:8" ht="12.75">
      <c r="A7" s="28" t="str">
        <f>Immobilisations!A10</f>
        <v> Frais d’établissement</v>
      </c>
      <c r="B7" s="61">
        <f>Immobilisations!B10</f>
        <v>0</v>
      </c>
      <c r="C7" s="61">
        <f>Immobilisations!H10</f>
        <v>0</v>
      </c>
      <c r="D7" s="61">
        <f>Immobilisations!K10</f>
        <v>0</v>
      </c>
      <c r="E7" s="5" t="str">
        <f>'Plan de financement démarrage'!C7</f>
        <v>Compte courant d'associés</v>
      </c>
      <c r="F7" s="61">
        <f>'Plan de financement démarrage'!D7</f>
        <v>0</v>
      </c>
      <c r="G7" s="61"/>
      <c r="H7" s="61"/>
    </row>
    <row r="8" spans="1:8" ht="12.75">
      <c r="A8" s="28" t="str">
        <f>Immobilisations!A11</f>
        <v> Droit d'entrée</v>
      </c>
      <c r="B8" s="61">
        <f>Immobilisations!E11+Immobilisations!B11</f>
        <v>0</v>
      </c>
      <c r="C8" s="61">
        <f>Immobilisations!H11</f>
        <v>0</v>
      </c>
      <c r="D8" s="61">
        <f>Immobilisations!K11</f>
        <v>0</v>
      </c>
      <c r="E8" s="5"/>
      <c r="F8" s="61"/>
      <c r="G8" s="61"/>
      <c r="H8" s="61"/>
    </row>
    <row r="9" spans="1:8" ht="12.75">
      <c r="A9" s="28" t="str">
        <f>Immobilisations!A12</f>
        <v> Communication</v>
      </c>
      <c r="B9" s="61">
        <f>Immobilisations!E12+Immobilisations!B12</f>
        <v>0</v>
      </c>
      <c r="C9" s="61">
        <f>Immobilisations!H12</f>
        <v>0</v>
      </c>
      <c r="D9" s="61">
        <f>Immobilisations!K12</f>
        <v>0</v>
      </c>
      <c r="E9" s="5" t="str">
        <f>'Plan de financement démarrage'!C9</f>
        <v>Prêt d'honneur PFI</v>
      </c>
      <c r="F9" s="61">
        <f>'Plan de financement démarrage'!D9</f>
        <v>0</v>
      </c>
      <c r="G9" s="61"/>
      <c r="H9" s="61"/>
    </row>
    <row r="10" spans="1:8" ht="12.75">
      <c r="A10" s="28" t="str">
        <f>Immobilisations!A13</f>
        <v> Logiciel</v>
      </c>
      <c r="B10" s="61">
        <f>Immobilisations!E13+Immobilisations!B13</f>
        <v>0</v>
      </c>
      <c r="C10" s="61">
        <f>Immobilisations!H13</f>
        <v>0</v>
      </c>
      <c r="D10" s="61">
        <f>Immobilisations!K13</f>
        <v>0</v>
      </c>
      <c r="E10" s="5" t="str">
        <f>'Plan de financement démarrage'!C10</f>
        <v>Autre prêt d'honneur</v>
      </c>
      <c r="F10" s="61">
        <f>'Plan de financement démarrage'!D10</f>
        <v>0</v>
      </c>
      <c r="G10" s="61"/>
      <c r="H10" s="61"/>
    </row>
    <row r="11" spans="1:8" ht="12.75">
      <c r="A11" s="28" t="str">
        <f>Immobilisations!A14</f>
        <v> Honoraires</v>
      </c>
      <c r="B11" s="61">
        <f>Immobilisations!B14</f>
        <v>0</v>
      </c>
      <c r="C11" s="61">
        <f>Immobilisations!H14</f>
        <v>0</v>
      </c>
      <c r="D11" s="61">
        <f>Immobilisations!K14</f>
        <v>0</v>
      </c>
      <c r="E11" s="5"/>
      <c r="F11" s="61"/>
      <c r="G11" s="61"/>
      <c r="H11" s="61"/>
    </row>
    <row r="12" spans="1:8" ht="12.75">
      <c r="A12" s="30" t="s">
        <v>64</v>
      </c>
      <c r="B12" s="62">
        <f>SUM(B5:B11)</f>
        <v>0</v>
      </c>
      <c r="C12" s="62">
        <f>SUM(C5:C11)</f>
        <v>0</v>
      </c>
      <c r="D12" s="62">
        <f>SUM(D5:D11)</f>
        <v>0</v>
      </c>
      <c r="E12" s="4" t="s">
        <v>112</v>
      </c>
      <c r="F12" s="68">
        <f>SUM(F5:F11)</f>
        <v>0</v>
      </c>
      <c r="G12" s="68">
        <f>SUM(G5:G11)</f>
        <v>0</v>
      </c>
      <c r="H12" s="68">
        <f>SUM(H5:H11)</f>
        <v>0</v>
      </c>
    </row>
    <row r="13" spans="1:8" ht="12.75">
      <c r="A13" s="28"/>
      <c r="B13" s="64"/>
      <c r="C13" s="65"/>
      <c r="D13" s="66"/>
      <c r="E13" s="19"/>
      <c r="F13" s="69"/>
      <c r="G13" s="70"/>
      <c r="H13" s="71"/>
    </row>
    <row r="14" spans="1:8" s="12" customFormat="1" ht="21" customHeight="1">
      <c r="A14" s="26" t="s">
        <v>2</v>
      </c>
      <c r="B14" s="328"/>
      <c r="C14" s="329"/>
      <c r="D14" s="330"/>
      <c r="E14" s="18" t="s">
        <v>113</v>
      </c>
      <c r="F14" s="328"/>
      <c r="G14" s="329"/>
      <c r="H14" s="330"/>
    </row>
    <row r="15" spans="1:8" ht="12.75">
      <c r="A15" s="28" t="str">
        <f>'Plan de financement démarrage'!A15</f>
        <v> Agencement, aménagement</v>
      </c>
      <c r="B15" s="61">
        <f>Immobilisations!E18+Immobilisations!B18</f>
        <v>0</v>
      </c>
      <c r="C15" s="61">
        <f>Immobilisations!H18</f>
        <v>0</v>
      </c>
      <c r="D15" s="61">
        <f>Immobilisations!K18</f>
        <v>0</v>
      </c>
      <c r="E15" s="5" t="str">
        <f>'Plan de financement démarrage'!C15</f>
        <v>Crowdfounding</v>
      </c>
      <c r="F15" s="72">
        <f>'Plan de financement démarrage'!D15</f>
        <v>0</v>
      </c>
      <c r="G15" s="72"/>
      <c r="H15" s="72"/>
    </row>
    <row r="16" spans="1:8" ht="12.75">
      <c r="A16" s="28" t="str">
        <f>'Plan de financement démarrage'!A16</f>
        <v> Matériel / outillage</v>
      </c>
      <c r="B16" s="61">
        <f>Immobilisations!E19+Immobilisations!B19</f>
        <v>0</v>
      </c>
      <c r="C16" s="61">
        <f>Immobilisations!H19</f>
        <v>0</v>
      </c>
      <c r="D16" s="61">
        <f>Immobilisations!K19</f>
        <v>0</v>
      </c>
      <c r="E16" s="5" t="str">
        <f>'Plan de financement démarrage'!C16</f>
        <v>Agefiph</v>
      </c>
      <c r="F16" s="61">
        <f>'Plan de financement démarrage'!D16</f>
        <v>0</v>
      </c>
      <c r="G16" s="61"/>
      <c r="H16" s="61"/>
    </row>
    <row r="17" spans="1:8" ht="12.75">
      <c r="A17" s="28" t="str">
        <f>'Plan de financement démarrage'!A17</f>
        <v> Véhicule </v>
      </c>
      <c r="B17" s="61">
        <f>Immobilisations!E20+Immobilisations!B20</f>
        <v>0</v>
      </c>
      <c r="C17" s="61">
        <f>Immobilisations!H20</f>
        <v>0</v>
      </c>
      <c r="D17" s="61">
        <f>Immobilisations!K20</f>
        <v>0</v>
      </c>
      <c r="E17" s="5" t="str">
        <f>'Plan de financement démarrage'!C17</f>
        <v>Fondation</v>
      </c>
      <c r="F17" s="61">
        <f>'Plan de financement démarrage'!D17</f>
        <v>0</v>
      </c>
      <c r="G17" s="61"/>
      <c r="H17" s="61"/>
    </row>
    <row r="18" spans="1:8" ht="12.75">
      <c r="A18" s="28" t="str">
        <f>'Plan de financement démarrage'!A18</f>
        <v> Mobilier</v>
      </c>
      <c r="B18" s="61">
        <f>Immobilisations!E21+Immobilisations!B21</f>
        <v>0</v>
      </c>
      <c r="C18" s="61">
        <f>Immobilisations!H21</f>
        <v>0</v>
      </c>
      <c r="D18" s="61">
        <f>Immobilisations!K21</f>
        <v>0</v>
      </c>
      <c r="E18" s="5" t="str">
        <f>'Plan de financement démarrage'!C18</f>
        <v>Autre : </v>
      </c>
      <c r="F18" s="61">
        <f>'Plan de financement démarrage'!D18</f>
        <v>0</v>
      </c>
      <c r="G18" s="61"/>
      <c r="H18" s="61"/>
    </row>
    <row r="19" spans="1:8" ht="12.75" customHeight="1">
      <c r="A19" s="28" t="str">
        <f>'Plan de financement démarrage'!A19</f>
        <v> Bureautique (tél, photocopieur...)</v>
      </c>
      <c r="B19" s="61">
        <f>Immobilisations!E22+Immobilisations!B22</f>
        <v>0</v>
      </c>
      <c r="C19" s="61">
        <f>Immobilisations!H22</f>
        <v>0</v>
      </c>
      <c r="D19" s="61">
        <f>Immobilisations!K22</f>
        <v>0</v>
      </c>
      <c r="F19" s="61"/>
      <c r="G19" s="61"/>
      <c r="H19" s="61"/>
    </row>
    <row r="20" spans="1:8" ht="12.75">
      <c r="A20" s="28" t="str">
        <f>'Plan de financement démarrage'!A20</f>
        <v> Informatique</v>
      </c>
      <c r="B20" s="61">
        <f>Immobilisations!E23+Immobilisations!B23</f>
        <v>0</v>
      </c>
      <c r="C20" s="61">
        <f>Immobilisations!H23</f>
        <v>0</v>
      </c>
      <c r="D20" s="61">
        <f>Immobilisations!K23</f>
        <v>0</v>
      </c>
      <c r="E20" s="4"/>
      <c r="F20" s="61"/>
      <c r="G20" s="61"/>
      <c r="H20" s="61"/>
    </row>
    <row r="21" spans="1:8" ht="12.75">
      <c r="A21" s="28" t="str">
        <f>'Plan de financement démarrage'!A21</f>
        <v> Autres</v>
      </c>
      <c r="B21" s="61">
        <f>Immobilisations!E24+Immobilisations!B24</f>
        <v>0</v>
      </c>
      <c r="C21" s="61">
        <f>Immobilisations!H24</f>
        <v>0</v>
      </c>
      <c r="D21" s="61">
        <f>Immobilisations!K24</f>
        <v>0</v>
      </c>
      <c r="E21" s="5"/>
      <c r="F21" s="61"/>
      <c r="G21" s="61"/>
      <c r="H21" s="61"/>
    </row>
    <row r="22" spans="1:8" ht="12.75">
      <c r="A22" s="30" t="s">
        <v>62</v>
      </c>
      <c r="B22" s="62">
        <f>SUM(B15:B21)</f>
        <v>0</v>
      </c>
      <c r="C22" s="62">
        <f>SUM(C15:C21)</f>
        <v>0</v>
      </c>
      <c r="D22" s="62">
        <f>SUM(D15:D21)</f>
        <v>0</v>
      </c>
      <c r="E22" s="4" t="s">
        <v>132</v>
      </c>
      <c r="F22" s="62">
        <f>SUM(F15:F21)</f>
        <v>0</v>
      </c>
      <c r="G22" s="62">
        <f>SUM(G15:G21)</f>
        <v>0</v>
      </c>
      <c r="H22" s="62">
        <f>SUM(H15:H21)</f>
        <v>0</v>
      </c>
    </row>
    <row r="23" spans="1:8" ht="12.75">
      <c r="A23" s="28"/>
      <c r="B23" s="64"/>
      <c r="C23" s="65"/>
      <c r="D23" s="66"/>
      <c r="E23" s="5"/>
      <c r="F23" s="64"/>
      <c r="G23" s="65"/>
      <c r="H23" s="66"/>
    </row>
    <row r="24" spans="1:8" s="12" customFormat="1" ht="21" customHeight="1">
      <c r="A24" s="26" t="s">
        <v>3</v>
      </c>
      <c r="B24" s="328"/>
      <c r="C24" s="329"/>
      <c r="D24" s="330"/>
      <c r="E24" s="11" t="s">
        <v>114</v>
      </c>
      <c r="F24" s="328"/>
      <c r="G24" s="329"/>
      <c r="H24" s="330"/>
    </row>
    <row r="25" spans="1:8" ht="12.75">
      <c r="A25" s="28" t="str">
        <f>'Plan de financement démarrage'!A25</f>
        <v> Dépôt de garantie</v>
      </c>
      <c r="B25" s="61">
        <f>Immobilisations!B28</f>
        <v>0</v>
      </c>
      <c r="C25" s="61"/>
      <c r="D25" s="61"/>
      <c r="E25" s="5" t="str">
        <f>'Plan de financement démarrage'!C25</f>
        <v>Emprunt long terme (LT)</v>
      </c>
      <c r="F25" s="61">
        <f>'Plan de financement démarrage'!D25</f>
        <v>0</v>
      </c>
      <c r="G25" s="61"/>
      <c r="H25" s="61"/>
    </row>
    <row r="26" spans="1:8" ht="12.75">
      <c r="A26" s="28" t="str">
        <f>'Plan de financement démarrage'!A26</f>
        <v> Garanties professionnelles</v>
      </c>
      <c r="B26" s="61">
        <f>Immobilisations!B29</f>
        <v>0</v>
      </c>
      <c r="C26" s="61"/>
      <c r="D26" s="61"/>
      <c r="E26" s="5" t="str">
        <f>'Plan de financement démarrage'!C26</f>
        <v>Emprunt MT CT</v>
      </c>
      <c r="F26" s="61">
        <f>'Plan de financement démarrage'!D26</f>
        <v>0</v>
      </c>
      <c r="G26" s="61"/>
      <c r="H26" s="61"/>
    </row>
    <row r="27" spans="1:8" ht="12.75">
      <c r="A27" s="30" t="s">
        <v>63</v>
      </c>
      <c r="B27" s="62">
        <f>SUM(B25:B26)</f>
        <v>0</v>
      </c>
      <c r="C27" s="62">
        <f>SUM(C25:C26)</f>
        <v>0</v>
      </c>
      <c r="D27" s="62">
        <f>SUM(D25:D26)</f>
        <v>0</v>
      </c>
      <c r="E27" s="5" t="str">
        <f>'Plan de financement démarrage'!C27</f>
        <v>Autres emprunts :</v>
      </c>
      <c r="F27" s="61">
        <f>'Plan de financement démarrage'!D27</f>
        <v>0</v>
      </c>
      <c r="G27" s="61"/>
      <c r="H27" s="61"/>
    </row>
    <row r="28" spans="1:8" ht="12.75">
      <c r="A28" s="28"/>
      <c r="B28" s="62"/>
      <c r="C28" s="62"/>
      <c r="D28" s="62"/>
      <c r="E28" s="4" t="s">
        <v>115</v>
      </c>
      <c r="F28" s="62">
        <f>SUM(F25:F27)</f>
        <v>0</v>
      </c>
      <c r="G28" s="62">
        <f>SUM(G25:G27)</f>
        <v>0</v>
      </c>
      <c r="H28" s="62">
        <f>SUM(H25:H27)</f>
        <v>0</v>
      </c>
    </row>
    <row r="29" spans="1:8" ht="12.75">
      <c r="A29" s="28" t="s">
        <v>131</v>
      </c>
      <c r="B29" s="67">
        <f>'Plan de financement démarrage'!D62</f>
        <v>0</v>
      </c>
      <c r="C29" s="67">
        <f>'Plan de financement démarrage'!E63</f>
        <v>0</v>
      </c>
      <c r="D29" s="67">
        <f>'Plan de financement démarrage'!F63</f>
        <v>0</v>
      </c>
      <c r="E29" s="5"/>
      <c r="F29" s="5"/>
      <c r="G29" s="5"/>
      <c r="H29" s="5"/>
    </row>
    <row r="30" spans="1:8" ht="12.75">
      <c r="A30" s="28" t="s">
        <v>22</v>
      </c>
      <c r="B30" s="67">
        <f>'Plan de financement démarrage'!D65</f>
        <v>0</v>
      </c>
      <c r="C30" s="67">
        <f>'Plan de financement démarrage'!E65-B30</f>
        <v>0</v>
      </c>
      <c r="D30" s="67">
        <f>'Plan de financement démarrage'!F65-'Plan de financement démarrage'!E65</f>
        <v>0</v>
      </c>
      <c r="E30" s="4" t="str">
        <f>'Plan de financement démarrage'!C30</f>
        <v>Crédit relais TVA</v>
      </c>
      <c r="F30" s="62">
        <f>'Plan de financement démarrage'!D30</f>
        <v>0</v>
      </c>
      <c r="G30" s="62"/>
      <c r="H30" s="62"/>
    </row>
    <row r="31" spans="1:8" ht="12.75">
      <c r="A31" s="28" t="s">
        <v>23</v>
      </c>
      <c r="B31" s="61">
        <f>'Plan de financement démarrage'!B30</f>
        <v>0</v>
      </c>
      <c r="C31" s="61"/>
      <c r="D31" s="61"/>
      <c r="E31" s="4"/>
      <c r="F31" s="62"/>
      <c r="G31" s="62"/>
      <c r="H31" s="62"/>
    </row>
    <row r="32" spans="1:8" ht="12.75">
      <c r="A32" s="28" t="s">
        <v>24</v>
      </c>
      <c r="B32" s="298">
        <f>F36-B34-B33-B31-B30-B29-B27-B22-B12</f>
        <v>0</v>
      </c>
      <c r="C32" s="298">
        <f>G36-C34-C33-C31-C30-C29-C27-C22-C12</f>
        <v>0</v>
      </c>
      <c r="D32" s="298">
        <f>H36-D34-D33-D31-D30-D29-D27-D22-D12</f>
        <v>0</v>
      </c>
      <c r="E32" s="4" t="s">
        <v>133</v>
      </c>
      <c r="F32" s="62">
        <f>B31</f>
        <v>0</v>
      </c>
      <c r="G32" s="62"/>
      <c r="H32" s="62"/>
    </row>
    <row r="33" spans="1:8" ht="12.75">
      <c r="A33" s="28" t="s">
        <v>186</v>
      </c>
      <c r="B33" s="61">
        <f>SUM('EMPRUNT bancaire'!J3:J14)+SUM('Prêt Plateforme'!L3:L14)+SUM('Prêt caisse des dépots'!L3:L14)</f>
        <v>0</v>
      </c>
      <c r="C33" s="61">
        <f>SUM('EMPRUNT bancaire'!J15:J26)+SUM('Prêt Plateforme'!L15:L26)</f>
        <v>0</v>
      </c>
      <c r="D33" s="61">
        <f>SUM('EMPRUNT bancaire'!J27:J38)+SUM('Prêt Plateforme'!L27:L38)</f>
        <v>0</v>
      </c>
      <c r="E33" s="5"/>
      <c r="F33" s="62"/>
      <c r="G33" s="62"/>
      <c r="H33" s="62"/>
    </row>
    <row r="34" spans="1:8" ht="12.75">
      <c r="A34" s="28" t="s">
        <v>144</v>
      </c>
      <c r="B34" s="241"/>
      <c r="C34" s="241"/>
      <c r="D34" s="241"/>
      <c r="E34" s="4" t="s">
        <v>134</v>
      </c>
      <c r="F34" s="308">
        <f>'Compte de résultat sur 3 ans'!B44+'Compte de résultat sur 3 ans'!B40</f>
        <v>0</v>
      </c>
      <c r="G34" s="308">
        <f>'Compte de résultat sur 3 ans'!C44+'Compte de résultat sur 3 ans'!C40</f>
        <v>0</v>
      </c>
      <c r="H34" s="308">
        <f>'Compte de résultat sur 3 ans'!D44+'Compte de résultat sur 3 ans'!D40</f>
        <v>0</v>
      </c>
    </row>
    <row r="35" spans="1:8" ht="12.75">
      <c r="A35" s="4" t="s">
        <v>145</v>
      </c>
      <c r="B35" s="62">
        <f>SUM(B29:B34)</f>
        <v>0</v>
      </c>
      <c r="C35" s="62">
        <f>SUM(C29:C34)</f>
        <v>0</v>
      </c>
      <c r="D35" s="62">
        <f>SUM(D29:D34)</f>
        <v>0</v>
      </c>
      <c r="E35" s="5"/>
      <c r="F35" s="62"/>
      <c r="G35" s="62"/>
      <c r="H35" s="62"/>
    </row>
    <row r="36" spans="1:8" s="12" customFormat="1" ht="35.25" customHeight="1">
      <c r="A36" s="11" t="s">
        <v>4</v>
      </c>
      <c r="B36" s="63">
        <f>B12+B22+B27+B35</f>
        <v>0</v>
      </c>
      <c r="C36" s="63">
        <f>C12+C22+C27+C35</f>
        <v>0</v>
      </c>
      <c r="D36" s="63">
        <f>D12+D22+D27+D35</f>
        <v>0</v>
      </c>
      <c r="E36" s="11" t="s">
        <v>116</v>
      </c>
      <c r="F36" s="63">
        <f>F12+F22+F28+F31+F32+F34</f>
        <v>0</v>
      </c>
      <c r="G36" s="63">
        <f>G12+G22+G28+G31+G32+G34</f>
        <v>0</v>
      </c>
      <c r="H36" s="63">
        <f>H12+H22+H28+H31+H32+H34</f>
        <v>0</v>
      </c>
    </row>
    <row r="38" spans="1:4" s="9" customFormat="1" ht="12.75">
      <c r="A38" s="8"/>
      <c r="B38" s="3"/>
      <c r="C38" s="8"/>
      <c r="D38" s="3"/>
    </row>
    <row r="39" spans="1:4" s="9" customFormat="1" ht="12.75">
      <c r="A39" s="8"/>
      <c r="B39" s="10"/>
      <c r="C39" s="8"/>
      <c r="D39" s="10"/>
    </row>
    <row r="40" spans="2:4" s="9" customFormat="1" ht="12.75">
      <c r="B40" s="10"/>
      <c r="D40" s="10"/>
    </row>
    <row r="41" spans="1:4" s="9" customFormat="1" ht="12.75">
      <c r="A41" s="1"/>
      <c r="B41" s="10"/>
      <c r="D41" s="10"/>
    </row>
    <row r="42" spans="1:4" s="9" customFormat="1" ht="12.75">
      <c r="A42" s="1"/>
      <c r="B42" s="10"/>
      <c r="D42" s="10"/>
    </row>
    <row r="43" spans="2:4" s="9" customFormat="1" ht="12.75">
      <c r="B43" s="10"/>
      <c r="D43" s="10"/>
    </row>
    <row r="44" spans="1:4" s="9" customFormat="1" ht="12.75">
      <c r="A44" s="8"/>
      <c r="B44" s="10"/>
      <c r="C44" s="8"/>
      <c r="D44" s="10"/>
    </row>
    <row r="45" spans="2:4" s="9" customFormat="1" ht="12.75">
      <c r="B45" s="10"/>
      <c r="D45" s="10"/>
    </row>
    <row r="46" spans="2:4" s="9" customFormat="1" ht="12.75">
      <c r="B46" s="10"/>
      <c r="D46" s="10"/>
    </row>
    <row r="47" spans="2:4" s="9" customFormat="1" ht="12.75">
      <c r="B47" s="10"/>
      <c r="D47" s="10"/>
    </row>
    <row r="48" spans="2:4" s="9" customFormat="1" ht="12.75">
      <c r="B48" s="10"/>
      <c r="D48" s="10"/>
    </row>
    <row r="49" spans="2:4" s="9" customFormat="1" ht="12.75">
      <c r="B49" s="10"/>
      <c r="D49" s="10"/>
    </row>
    <row r="50" spans="1:4" s="9" customFormat="1" ht="12.75">
      <c r="A50" s="8"/>
      <c r="B50" s="10"/>
      <c r="C50" s="8"/>
      <c r="D50" s="10"/>
    </row>
    <row r="51" spans="2:4" s="9" customFormat="1" ht="12.75">
      <c r="B51" s="10"/>
      <c r="D51" s="10"/>
    </row>
    <row r="52" spans="2:4" s="9" customFormat="1" ht="12.75">
      <c r="B52" s="10"/>
      <c r="D52" s="10"/>
    </row>
    <row r="53" spans="2:4" s="9" customFormat="1" ht="12.75">
      <c r="B53" s="10"/>
      <c r="D53" s="10"/>
    </row>
    <row r="54" spans="2:4" s="9" customFormat="1" ht="12.75">
      <c r="B54" s="10"/>
      <c r="D54" s="10"/>
    </row>
    <row r="55" spans="2:4" s="9" customFormat="1" ht="12.75">
      <c r="B55" s="10"/>
      <c r="D55" s="10"/>
    </row>
    <row r="56" spans="2:4" s="9" customFormat="1" ht="12.75">
      <c r="B56" s="10"/>
      <c r="D56" s="10"/>
    </row>
    <row r="57" spans="2:4" s="9" customFormat="1" ht="12.75">
      <c r="B57" s="10"/>
      <c r="D57" s="10"/>
    </row>
    <row r="58" spans="1:4" s="9" customFormat="1" ht="12.75">
      <c r="A58" s="8"/>
      <c r="B58" s="10"/>
      <c r="C58" s="8"/>
      <c r="D58" s="10"/>
    </row>
  </sheetData>
  <sheetProtection/>
  <mergeCells count="7">
    <mergeCell ref="B24:D24"/>
    <mergeCell ref="F24:H24"/>
    <mergeCell ref="A1:H1"/>
    <mergeCell ref="B4:D4"/>
    <mergeCell ref="F4:H4"/>
    <mergeCell ref="F14:H14"/>
    <mergeCell ref="B14:D14"/>
  </mergeCells>
  <printOptions/>
  <pageMargins left="0.72" right="0.47" top="0.31" bottom="0.24" header="0.37" footer="0.2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T29" sqref="T29"/>
    </sheetView>
  </sheetViews>
  <sheetFormatPr defaultColWidth="11.421875" defaultRowHeight="12.75"/>
  <cols>
    <col min="1" max="1" width="28.00390625" style="0" customWidth="1"/>
    <col min="2" max="13" width="8.7109375" style="0" customWidth="1"/>
    <col min="14" max="14" width="12.7109375" style="0" customWidth="1"/>
    <col min="16" max="16" width="27.140625" style="0" customWidth="1"/>
    <col min="17" max="18" width="12.7109375" style="0" customWidth="1"/>
  </cols>
  <sheetData>
    <row r="1" spans="1:18" ht="15" thickBot="1">
      <c r="A1" s="324" t="s">
        <v>192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  <c r="P1" s="324" t="s">
        <v>244</v>
      </c>
      <c r="Q1" s="322"/>
      <c r="R1" s="323"/>
    </row>
    <row r="3" spans="8:13" ht="12.75">
      <c r="H3" s="235"/>
      <c r="M3" s="236"/>
    </row>
    <row r="4" spans="1:18" ht="13.5">
      <c r="A4" s="16" t="s">
        <v>65</v>
      </c>
      <c r="B4" s="251">
        <v>43831</v>
      </c>
      <c r="C4" s="251">
        <v>43862</v>
      </c>
      <c r="D4" s="251">
        <v>43891</v>
      </c>
      <c r="E4" s="251">
        <v>43922</v>
      </c>
      <c r="F4" s="251">
        <v>43952</v>
      </c>
      <c r="G4" s="251">
        <v>43983</v>
      </c>
      <c r="H4" s="251">
        <v>44013</v>
      </c>
      <c r="I4" s="251">
        <v>44044</v>
      </c>
      <c r="J4" s="251">
        <v>44075</v>
      </c>
      <c r="K4" s="251">
        <v>44105</v>
      </c>
      <c r="L4" s="251">
        <v>44136</v>
      </c>
      <c r="M4" s="251">
        <v>44166</v>
      </c>
      <c r="N4" s="33" t="s">
        <v>6</v>
      </c>
      <c r="P4" s="16" t="s">
        <v>221</v>
      </c>
      <c r="Q4" s="33" t="s">
        <v>219</v>
      </c>
      <c r="R4" s="33" t="s">
        <v>220</v>
      </c>
    </row>
    <row r="5" spans="1:18" ht="13.5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  <c r="P5" s="256"/>
      <c r="Q5" s="256"/>
      <c r="R5" s="256"/>
    </row>
    <row r="6" spans="1:18" ht="12.75">
      <c r="A6" s="4" t="s">
        <v>218</v>
      </c>
      <c r="B6" s="73">
        <f>B7*B8</f>
        <v>0</v>
      </c>
      <c r="C6" s="73">
        <f aca="true" t="shared" si="0" ref="C6:M6">C7*C8</f>
        <v>0</v>
      </c>
      <c r="D6" s="73">
        <f t="shared" si="0"/>
        <v>0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0</v>
      </c>
      <c r="N6" s="73">
        <f>SUM(B6:M6)</f>
        <v>0</v>
      </c>
      <c r="O6" s="247"/>
      <c r="P6" s="4" t="s">
        <v>218</v>
      </c>
      <c r="Q6" s="290">
        <f>Q7*Q8</f>
        <v>0</v>
      </c>
      <c r="R6" s="290">
        <f>R7*R8</f>
        <v>0</v>
      </c>
    </row>
    <row r="7" spans="1:18" ht="12.75">
      <c r="A7" s="24" t="s">
        <v>61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73"/>
      <c r="P7" s="24" t="s">
        <v>61</v>
      </c>
      <c r="Q7" s="292"/>
      <c r="R7" s="292"/>
    </row>
    <row r="8" spans="1:18" ht="12.75">
      <c r="A8" s="24" t="s">
        <v>60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73">
        <f>SUM(B8:M8)</f>
        <v>0</v>
      </c>
      <c r="P8" s="24" t="s">
        <v>60</v>
      </c>
      <c r="Q8" s="292"/>
      <c r="R8" s="292"/>
    </row>
    <row r="9" spans="1:18" ht="12.75">
      <c r="A9" s="2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24"/>
      <c r="Q9" s="290"/>
      <c r="R9" s="290"/>
    </row>
    <row r="10" spans="1:18" ht="12.75">
      <c r="A10" s="4" t="s">
        <v>66</v>
      </c>
      <c r="B10" s="73">
        <f>B11*B12</f>
        <v>0</v>
      </c>
      <c r="C10" s="73">
        <f aca="true" t="shared" si="1" ref="C10:M10">C11*C12</f>
        <v>0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si="1"/>
        <v>0</v>
      </c>
      <c r="H10" s="73">
        <f t="shared" si="1"/>
        <v>0</v>
      </c>
      <c r="I10" s="73">
        <f t="shared" si="1"/>
        <v>0</v>
      </c>
      <c r="J10" s="73">
        <f t="shared" si="1"/>
        <v>0</v>
      </c>
      <c r="K10" s="73">
        <f t="shared" si="1"/>
        <v>0</v>
      </c>
      <c r="L10" s="73">
        <f t="shared" si="1"/>
        <v>0</v>
      </c>
      <c r="M10" s="73">
        <f t="shared" si="1"/>
        <v>0</v>
      </c>
      <c r="N10" s="73">
        <f>SUM(B10:M10)</f>
        <v>0</v>
      </c>
      <c r="P10" s="4" t="s">
        <v>66</v>
      </c>
      <c r="Q10" s="290">
        <f>Q11*Q12</f>
        <v>0</v>
      </c>
      <c r="R10" s="290">
        <f>R11*R12</f>
        <v>0</v>
      </c>
    </row>
    <row r="11" spans="1:18" ht="12.75">
      <c r="A11" s="24" t="s">
        <v>61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73"/>
      <c r="P11" s="24" t="s">
        <v>61</v>
      </c>
      <c r="Q11" s="292"/>
      <c r="R11" s="292"/>
    </row>
    <row r="12" spans="1:18" ht="12.75">
      <c r="A12" s="24" t="s">
        <v>60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73">
        <f>SUM(B12:M12)</f>
        <v>0</v>
      </c>
      <c r="P12" s="24" t="s">
        <v>60</v>
      </c>
      <c r="Q12" s="292"/>
      <c r="R12" s="292"/>
    </row>
    <row r="13" spans="1:18" ht="12.75">
      <c r="A13" s="2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24"/>
      <c r="Q13" s="290"/>
      <c r="R13" s="290"/>
    </row>
    <row r="14" spans="1:18" ht="12.75">
      <c r="A14" s="4" t="s">
        <v>67</v>
      </c>
      <c r="B14" s="73">
        <f>B15*B16</f>
        <v>0</v>
      </c>
      <c r="C14" s="73">
        <f aca="true" t="shared" si="2" ref="C14:M14">C15*C16</f>
        <v>0</v>
      </c>
      <c r="D14" s="73">
        <f t="shared" si="2"/>
        <v>0</v>
      </c>
      <c r="E14" s="73">
        <f t="shared" si="2"/>
        <v>0</v>
      </c>
      <c r="F14" s="73">
        <f t="shared" si="2"/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t="shared" si="2"/>
        <v>0</v>
      </c>
      <c r="M14" s="73">
        <f t="shared" si="2"/>
        <v>0</v>
      </c>
      <c r="N14" s="73">
        <f>SUM(B14:M14)</f>
        <v>0</v>
      </c>
      <c r="P14" s="4" t="s">
        <v>67</v>
      </c>
      <c r="Q14" s="290">
        <f>Q15*Q16</f>
        <v>0</v>
      </c>
      <c r="R14" s="290">
        <f>R15*R16</f>
        <v>0</v>
      </c>
    </row>
    <row r="15" spans="1:18" ht="12.75">
      <c r="A15" s="24" t="s">
        <v>61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73"/>
      <c r="P15" s="24" t="s">
        <v>61</v>
      </c>
      <c r="Q15" s="266"/>
      <c r="R15" s="266"/>
    </row>
    <row r="16" spans="1:18" ht="12.75">
      <c r="A16" s="24" t="s">
        <v>60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73">
        <f>SUM(B16:M16)</f>
        <v>0</v>
      </c>
      <c r="P16" s="24" t="s">
        <v>60</v>
      </c>
      <c r="Q16" s="258"/>
      <c r="R16" s="258"/>
    </row>
    <row r="17" spans="1:18" ht="12.75">
      <c r="A17" s="2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P17" s="24"/>
      <c r="Q17" s="256"/>
      <c r="R17" s="256"/>
    </row>
    <row r="18" spans="1:18" ht="12.75">
      <c r="A18" s="4" t="s">
        <v>68</v>
      </c>
      <c r="B18" s="73">
        <f>B19*B20</f>
        <v>0</v>
      </c>
      <c r="C18" s="73">
        <f aca="true" t="shared" si="3" ref="C18:M18">C19*C20</f>
        <v>0</v>
      </c>
      <c r="D18" s="73">
        <f t="shared" si="3"/>
        <v>0</v>
      </c>
      <c r="E18" s="73">
        <f t="shared" si="3"/>
        <v>0</v>
      </c>
      <c r="F18" s="73">
        <f t="shared" si="3"/>
        <v>0</v>
      </c>
      <c r="G18" s="73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3">
        <f t="shared" si="3"/>
        <v>0</v>
      </c>
      <c r="L18" s="73">
        <f t="shared" si="3"/>
        <v>0</v>
      </c>
      <c r="M18" s="73">
        <f t="shared" si="3"/>
        <v>0</v>
      </c>
      <c r="N18" s="73">
        <f>SUM(B18:M18)</f>
        <v>0</v>
      </c>
      <c r="P18" s="4" t="s">
        <v>68</v>
      </c>
      <c r="Q18" s="256">
        <f>Q19*Q20</f>
        <v>0</v>
      </c>
      <c r="R18" s="256">
        <f>R19*R20</f>
        <v>0</v>
      </c>
    </row>
    <row r="19" spans="1:18" ht="12.75">
      <c r="A19" s="24" t="s">
        <v>61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73"/>
      <c r="P19" s="24" t="s">
        <v>61</v>
      </c>
      <c r="Q19" s="266"/>
      <c r="R19" s="266"/>
    </row>
    <row r="20" spans="1:18" ht="12.75">
      <c r="A20" s="24" t="s">
        <v>60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73">
        <f>SUM(B20:M20)</f>
        <v>0</v>
      </c>
      <c r="P20" s="24" t="s">
        <v>60</v>
      </c>
      <c r="Q20" s="258"/>
      <c r="R20" s="258"/>
    </row>
    <row r="21" spans="1:18" s="25" customFormat="1" ht="24.75" customHeight="1">
      <c r="A21" s="26" t="s">
        <v>109</v>
      </c>
      <c r="B21" s="74">
        <f>SUM(B6+B10+B14+B18)</f>
        <v>0</v>
      </c>
      <c r="C21" s="74">
        <f aca="true" t="shared" si="4" ref="C21:M21">SUM(C6+C10+C14+C18)</f>
        <v>0</v>
      </c>
      <c r="D21" s="74">
        <f t="shared" si="4"/>
        <v>0</v>
      </c>
      <c r="E21" s="74">
        <f t="shared" si="4"/>
        <v>0</v>
      </c>
      <c r="F21" s="74">
        <f t="shared" si="4"/>
        <v>0</v>
      </c>
      <c r="G21" s="74">
        <f t="shared" si="4"/>
        <v>0</v>
      </c>
      <c r="H21" s="74">
        <f t="shared" si="4"/>
        <v>0</v>
      </c>
      <c r="I21" s="74">
        <f t="shared" si="4"/>
        <v>0</v>
      </c>
      <c r="J21" s="74">
        <f t="shared" si="4"/>
        <v>0</v>
      </c>
      <c r="K21" s="74">
        <f t="shared" si="4"/>
        <v>0</v>
      </c>
      <c r="L21" s="74">
        <f t="shared" si="4"/>
        <v>0</v>
      </c>
      <c r="M21" s="74">
        <f t="shared" si="4"/>
        <v>0</v>
      </c>
      <c r="N21" s="74">
        <f>SUM(B21:M21)</f>
        <v>0</v>
      </c>
      <c r="P21" s="26" t="s">
        <v>109</v>
      </c>
      <c r="Q21" s="74">
        <f>Q6+Q10+Q14+Q18</f>
        <v>0</v>
      </c>
      <c r="R21" s="74">
        <f>R6+R10+R14+R18</f>
        <v>0</v>
      </c>
    </row>
    <row r="24" spans="2:8" ht="12.75">
      <c r="B24" s="1"/>
      <c r="C24" s="1"/>
      <c r="D24" s="1"/>
      <c r="E24" s="1"/>
      <c r="F24" s="1"/>
      <c r="G24" s="1"/>
      <c r="H24" s="1"/>
    </row>
    <row r="25" spans="1:18" ht="13.5">
      <c r="A25" s="16" t="s">
        <v>225</v>
      </c>
      <c r="B25" s="251">
        <f>B4</f>
        <v>43831</v>
      </c>
      <c r="C25" s="251">
        <f aca="true" t="shared" si="5" ref="C25:N25">C4</f>
        <v>43862</v>
      </c>
      <c r="D25" s="251">
        <f t="shared" si="5"/>
        <v>43891</v>
      </c>
      <c r="E25" s="251">
        <f t="shared" si="5"/>
        <v>43922</v>
      </c>
      <c r="F25" s="251">
        <f t="shared" si="5"/>
        <v>43952</v>
      </c>
      <c r="G25" s="251">
        <f t="shared" si="5"/>
        <v>43983</v>
      </c>
      <c r="H25" s="251">
        <f t="shared" si="5"/>
        <v>44013</v>
      </c>
      <c r="I25" s="251">
        <f t="shared" si="5"/>
        <v>44044</v>
      </c>
      <c r="J25" s="251">
        <f t="shared" si="5"/>
        <v>44075</v>
      </c>
      <c r="K25" s="251">
        <f t="shared" si="5"/>
        <v>44105</v>
      </c>
      <c r="L25" s="251">
        <f t="shared" si="5"/>
        <v>44136</v>
      </c>
      <c r="M25" s="251">
        <f t="shared" si="5"/>
        <v>44166</v>
      </c>
      <c r="N25" s="251" t="str">
        <f t="shared" si="5"/>
        <v>Total</v>
      </c>
      <c r="P25" s="16" t="s">
        <v>225</v>
      </c>
      <c r="Q25" s="33" t="s">
        <v>219</v>
      </c>
      <c r="R25" s="33" t="s">
        <v>220</v>
      </c>
    </row>
    <row r="26" spans="1:18" ht="12.75">
      <c r="A26" s="340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2"/>
      <c r="P26" s="256"/>
      <c r="Q26" s="256"/>
      <c r="R26" s="256"/>
    </row>
    <row r="27" spans="1:18" ht="12.75">
      <c r="A27" s="4" t="s">
        <v>218</v>
      </c>
      <c r="B27" s="290">
        <f>B8*(B28+B29)</f>
        <v>0</v>
      </c>
      <c r="C27" s="290">
        <f aca="true" t="shared" si="6" ref="C27:M27">C8*(C28+C29)</f>
        <v>0</v>
      </c>
      <c r="D27" s="290">
        <f t="shared" si="6"/>
        <v>0</v>
      </c>
      <c r="E27" s="290">
        <f t="shared" si="6"/>
        <v>0</v>
      </c>
      <c r="F27" s="290">
        <f t="shared" si="6"/>
        <v>0</v>
      </c>
      <c r="G27" s="290">
        <f t="shared" si="6"/>
        <v>0</v>
      </c>
      <c r="H27" s="290">
        <f t="shared" si="6"/>
        <v>0</v>
      </c>
      <c r="I27" s="290">
        <f t="shared" si="6"/>
        <v>0</v>
      </c>
      <c r="J27" s="290">
        <f t="shared" si="6"/>
        <v>0</v>
      </c>
      <c r="K27" s="290">
        <f t="shared" si="6"/>
        <v>0</v>
      </c>
      <c r="L27" s="290">
        <f t="shared" si="6"/>
        <v>0</v>
      </c>
      <c r="M27" s="290">
        <f t="shared" si="6"/>
        <v>0</v>
      </c>
      <c r="N27" s="290">
        <f>SUM(B27:M27)</f>
        <v>0</v>
      </c>
      <c r="P27" s="4" t="s">
        <v>218</v>
      </c>
      <c r="Q27" s="290">
        <f>Q8*(Q28+Q29)</f>
        <v>0</v>
      </c>
      <c r="R27" s="290">
        <f>R8*(R28+R29)</f>
        <v>0</v>
      </c>
    </row>
    <row r="28" spans="1:18" ht="12.75">
      <c r="A28" s="24" t="s">
        <v>227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0">
        <f>N27-N29</f>
        <v>0</v>
      </c>
      <c r="P28" s="24" t="s">
        <v>227</v>
      </c>
      <c r="Q28" s="293"/>
      <c r="R28" s="293"/>
    </row>
    <row r="29" spans="1:18" ht="12.75">
      <c r="A29" s="24" t="s">
        <v>226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0">
        <f>SUM(B29:M29)</f>
        <v>0</v>
      </c>
      <c r="P29" s="24" t="s">
        <v>226</v>
      </c>
      <c r="Q29" s="293"/>
      <c r="R29" s="293"/>
    </row>
    <row r="30" spans="1:18" ht="13.5">
      <c r="A30" s="256"/>
      <c r="B30" s="290"/>
      <c r="C30" s="296"/>
      <c r="D30" s="290"/>
      <c r="E30" s="290"/>
      <c r="F30" s="291"/>
      <c r="G30" s="290"/>
      <c r="H30" s="290"/>
      <c r="I30" s="297"/>
      <c r="J30" s="297"/>
      <c r="K30" s="290"/>
      <c r="L30" s="290"/>
      <c r="M30" s="290"/>
      <c r="N30" s="290"/>
      <c r="P30" s="24"/>
      <c r="Q30" s="290"/>
      <c r="R30" s="290"/>
    </row>
    <row r="31" spans="1:18" ht="12.75">
      <c r="A31" s="4" t="s">
        <v>66</v>
      </c>
      <c r="B31" s="290">
        <f>B12*B32+B33</f>
        <v>0</v>
      </c>
      <c r="C31" s="290">
        <f aca="true" t="shared" si="7" ref="C31:M31">C12*C32+C33</f>
        <v>0</v>
      </c>
      <c r="D31" s="290">
        <f t="shared" si="7"/>
        <v>0</v>
      </c>
      <c r="E31" s="290">
        <f t="shared" si="7"/>
        <v>0</v>
      </c>
      <c r="F31" s="290">
        <f t="shared" si="7"/>
        <v>0</v>
      </c>
      <c r="G31" s="290">
        <f t="shared" si="7"/>
        <v>0</v>
      </c>
      <c r="H31" s="290">
        <f t="shared" si="7"/>
        <v>0</v>
      </c>
      <c r="I31" s="290">
        <f t="shared" si="7"/>
        <v>0</v>
      </c>
      <c r="J31" s="290">
        <f t="shared" si="7"/>
        <v>0</v>
      </c>
      <c r="K31" s="290">
        <f t="shared" si="7"/>
        <v>0</v>
      </c>
      <c r="L31" s="290">
        <f t="shared" si="7"/>
        <v>0</v>
      </c>
      <c r="M31" s="290">
        <f t="shared" si="7"/>
        <v>0</v>
      </c>
      <c r="N31" s="290">
        <f>SUM(B31:M31)</f>
        <v>0</v>
      </c>
      <c r="P31" s="4" t="s">
        <v>66</v>
      </c>
      <c r="Q31" s="290">
        <f>Q32*Q12+Q33</f>
        <v>0</v>
      </c>
      <c r="R31" s="290">
        <f>R32*R12+R33</f>
        <v>0</v>
      </c>
    </row>
    <row r="32" spans="1:18" ht="12.75">
      <c r="A32" s="24" t="s">
        <v>227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0">
        <f>N31-N33</f>
        <v>0</v>
      </c>
      <c r="P32" s="24" t="s">
        <v>227</v>
      </c>
      <c r="Q32" s="293"/>
      <c r="R32" s="293"/>
    </row>
    <row r="33" spans="1:18" ht="13.5">
      <c r="A33" s="24" t="s">
        <v>226</v>
      </c>
      <c r="B33" s="293"/>
      <c r="C33" s="294"/>
      <c r="D33" s="293"/>
      <c r="E33" s="293"/>
      <c r="F33" s="295"/>
      <c r="G33" s="293"/>
      <c r="H33" s="293"/>
      <c r="I33" s="293"/>
      <c r="J33" s="293"/>
      <c r="K33" s="293"/>
      <c r="L33" s="293"/>
      <c r="M33" s="293"/>
      <c r="N33" s="290">
        <f>SUM(B33:M33)</f>
        <v>0</v>
      </c>
      <c r="P33" s="24" t="s">
        <v>226</v>
      </c>
      <c r="Q33" s="293"/>
      <c r="R33" s="293"/>
    </row>
    <row r="34" spans="1:18" ht="13.5">
      <c r="A34" s="256"/>
      <c r="B34" s="290"/>
      <c r="C34" s="296"/>
      <c r="D34" s="290"/>
      <c r="E34" s="290"/>
      <c r="F34" s="291"/>
      <c r="G34" s="290"/>
      <c r="H34" s="297"/>
      <c r="I34" s="297"/>
      <c r="J34" s="291"/>
      <c r="K34" s="290"/>
      <c r="L34" s="290"/>
      <c r="M34" s="290"/>
      <c r="N34" s="290"/>
      <c r="P34" s="24"/>
      <c r="Q34" s="290"/>
      <c r="R34" s="290"/>
    </row>
    <row r="35" spans="1:18" ht="12.75">
      <c r="A35" s="4" t="s">
        <v>67</v>
      </c>
      <c r="B35" s="290">
        <f>B12*B36+B37</f>
        <v>0</v>
      </c>
      <c r="C35" s="290">
        <f aca="true" t="shared" si="8" ref="C35:M35">C12*C36+C37</f>
        <v>0</v>
      </c>
      <c r="D35" s="290">
        <f t="shared" si="8"/>
        <v>0</v>
      </c>
      <c r="E35" s="290">
        <f t="shared" si="8"/>
        <v>0</v>
      </c>
      <c r="F35" s="290">
        <f t="shared" si="8"/>
        <v>0</v>
      </c>
      <c r="G35" s="290">
        <f t="shared" si="8"/>
        <v>0</v>
      </c>
      <c r="H35" s="290">
        <f t="shared" si="8"/>
        <v>0</v>
      </c>
      <c r="I35" s="290">
        <f t="shared" si="8"/>
        <v>0</v>
      </c>
      <c r="J35" s="290">
        <f t="shared" si="8"/>
        <v>0</v>
      </c>
      <c r="K35" s="290">
        <f t="shared" si="8"/>
        <v>0</v>
      </c>
      <c r="L35" s="290">
        <f t="shared" si="8"/>
        <v>0</v>
      </c>
      <c r="M35" s="290">
        <f t="shared" si="8"/>
        <v>0</v>
      </c>
      <c r="N35" s="290">
        <f>SUM(B35:M35)</f>
        <v>0</v>
      </c>
      <c r="P35" s="4" t="s">
        <v>67</v>
      </c>
      <c r="Q35" s="290">
        <f>Q36*Q15+Q37</f>
        <v>0</v>
      </c>
      <c r="R35" s="290">
        <f>R36*R15+R37</f>
        <v>0</v>
      </c>
    </row>
    <row r="36" spans="1:18" ht="13.5">
      <c r="A36" s="24" t="s">
        <v>227</v>
      </c>
      <c r="B36" s="273"/>
      <c r="C36" s="274"/>
      <c r="D36" s="273"/>
      <c r="E36" s="273"/>
      <c r="F36" s="275"/>
      <c r="G36" s="273"/>
      <c r="H36" s="273"/>
      <c r="I36" s="273"/>
      <c r="J36" s="275"/>
      <c r="K36" s="273"/>
      <c r="L36" s="273"/>
      <c r="M36" s="273"/>
      <c r="N36" s="282">
        <f>N35-N37</f>
        <v>0</v>
      </c>
      <c r="P36" s="24" t="s">
        <v>227</v>
      </c>
      <c r="Q36" s="273"/>
      <c r="R36" s="273"/>
    </row>
    <row r="37" spans="1:18" ht="13.5">
      <c r="A37" s="24" t="s">
        <v>226</v>
      </c>
      <c r="B37" s="278"/>
      <c r="C37" s="279"/>
      <c r="D37" s="278"/>
      <c r="E37" s="278"/>
      <c r="F37" s="280"/>
      <c r="G37" s="278"/>
      <c r="H37" s="278"/>
      <c r="I37" s="278"/>
      <c r="J37" s="280"/>
      <c r="K37" s="278"/>
      <c r="L37" s="278"/>
      <c r="M37" s="278"/>
      <c r="N37" s="276">
        <f>SUM(B37:M37)</f>
        <v>0</v>
      </c>
      <c r="P37" s="24" t="s">
        <v>226</v>
      </c>
      <c r="Q37" s="278"/>
      <c r="R37" s="278"/>
    </row>
    <row r="38" spans="1:18" ht="12.75">
      <c r="A38" s="256"/>
      <c r="B38" s="256"/>
      <c r="C38" s="256"/>
      <c r="D38" s="256"/>
      <c r="E38" s="256"/>
      <c r="F38" s="262"/>
      <c r="G38" s="256"/>
      <c r="H38" s="263"/>
      <c r="I38" s="263"/>
      <c r="J38" s="262"/>
      <c r="K38" s="256"/>
      <c r="L38" s="256"/>
      <c r="M38" s="256"/>
      <c r="N38" s="256"/>
      <c r="P38" s="24"/>
      <c r="Q38" s="256"/>
      <c r="R38" s="256"/>
    </row>
    <row r="39" spans="1:18" ht="12.75">
      <c r="A39" s="4" t="s">
        <v>68</v>
      </c>
      <c r="B39" s="256">
        <f>B20*B40+B41</f>
        <v>0</v>
      </c>
      <c r="C39" s="256">
        <f aca="true" t="shared" si="9" ref="C39:M39">C20*C40+C41</f>
        <v>0</v>
      </c>
      <c r="D39" s="256">
        <f t="shared" si="9"/>
        <v>0</v>
      </c>
      <c r="E39" s="256">
        <f t="shared" si="9"/>
        <v>0</v>
      </c>
      <c r="F39" s="256">
        <f t="shared" si="9"/>
        <v>0</v>
      </c>
      <c r="G39" s="256">
        <f t="shared" si="9"/>
        <v>0</v>
      </c>
      <c r="H39" s="256">
        <f t="shared" si="9"/>
        <v>0</v>
      </c>
      <c r="I39" s="256">
        <f t="shared" si="9"/>
        <v>0</v>
      </c>
      <c r="J39" s="256">
        <f t="shared" si="9"/>
        <v>0</v>
      </c>
      <c r="K39" s="256">
        <f t="shared" si="9"/>
        <v>0</v>
      </c>
      <c r="L39" s="256">
        <f t="shared" si="9"/>
        <v>0</v>
      </c>
      <c r="M39" s="256">
        <f t="shared" si="9"/>
        <v>0</v>
      </c>
      <c r="N39" s="256">
        <f>SUM(B39:M39)</f>
        <v>0</v>
      </c>
      <c r="P39" s="4" t="s">
        <v>68</v>
      </c>
      <c r="Q39" s="256">
        <f>Q20*Q40+Q41</f>
        <v>0</v>
      </c>
      <c r="R39" s="256">
        <f>R20*R40+R41</f>
        <v>0</v>
      </c>
    </row>
    <row r="40" spans="1:18" ht="12.75">
      <c r="A40" s="24" t="s">
        <v>227</v>
      </c>
      <c r="B40" s="273"/>
      <c r="C40" s="273"/>
      <c r="D40" s="273"/>
      <c r="E40" s="273"/>
      <c r="F40" s="273"/>
      <c r="G40" s="277"/>
      <c r="H40" s="273"/>
      <c r="I40" s="273"/>
      <c r="J40" s="273"/>
      <c r="K40" s="277"/>
      <c r="L40" s="273"/>
      <c r="M40" s="273"/>
      <c r="N40" s="282">
        <f>N39-N41</f>
        <v>0</v>
      </c>
      <c r="P40" s="24" t="s">
        <v>227</v>
      </c>
      <c r="Q40" s="273"/>
      <c r="R40" s="273"/>
    </row>
    <row r="41" spans="1:18" ht="12.75">
      <c r="A41" s="24" t="s">
        <v>226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82">
        <f>SUM(B41:M41)</f>
        <v>0</v>
      </c>
      <c r="P41" s="24" t="s">
        <v>226</v>
      </c>
      <c r="Q41" s="278"/>
      <c r="R41" s="278"/>
    </row>
    <row r="42" spans="1:18" ht="26.25">
      <c r="A42" s="26" t="s">
        <v>228</v>
      </c>
      <c r="B42" s="74">
        <f>B27+B31+B35+B39</f>
        <v>0</v>
      </c>
      <c r="C42" s="74">
        <f aca="true" t="shared" si="10" ref="C42:N42">C27+C31+C35+C39</f>
        <v>0</v>
      </c>
      <c r="D42" s="74">
        <f t="shared" si="10"/>
        <v>0</v>
      </c>
      <c r="E42" s="74">
        <f t="shared" si="10"/>
        <v>0</v>
      </c>
      <c r="F42" s="74">
        <f t="shared" si="10"/>
        <v>0</v>
      </c>
      <c r="G42" s="74">
        <f t="shared" si="10"/>
        <v>0</v>
      </c>
      <c r="H42" s="74">
        <f t="shared" si="10"/>
        <v>0</v>
      </c>
      <c r="I42" s="74">
        <f t="shared" si="10"/>
        <v>0</v>
      </c>
      <c r="J42" s="74">
        <f t="shared" si="10"/>
        <v>0</v>
      </c>
      <c r="K42" s="74">
        <f t="shared" si="10"/>
        <v>0</v>
      </c>
      <c r="L42" s="74">
        <f t="shared" si="10"/>
        <v>0</v>
      </c>
      <c r="M42" s="74">
        <f t="shared" si="10"/>
        <v>0</v>
      </c>
      <c r="N42" s="74">
        <f t="shared" si="10"/>
        <v>0</v>
      </c>
      <c r="P42" s="26" t="s">
        <v>228</v>
      </c>
      <c r="Q42" s="74">
        <f>Q27+Q31+Q35+Q39</f>
        <v>0</v>
      </c>
      <c r="R42" s="74">
        <f>R27+R31+R35+R39</f>
        <v>0</v>
      </c>
    </row>
    <row r="47" ht="12.75" customHeight="1"/>
    <row r="48" ht="295.5" customHeight="1"/>
    <row r="49" spans="1:18" ht="12.75">
      <c r="A49" t="s">
        <v>232</v>
      </c>
      <c r="B49" s="281">
        <f>B28*B8+C28*C8+D28*D8</f>
        <v>0</v>
      </c>
      <c r="P49" t="s">
        <v>236</v>
      </c>
      <c r="Q49" s="281">
        <f>Q28*Q8</f>
        <v>0</v>
      </c>
      <c r="R49" s="281">
        <f>R28*R8</f>
        <v>0</v>
      </c>
    </row>
    <row r="50" spans="1:18" ht="12.75">
      <c r="A50" t="s">
        <v>233</v>
      </c>
      <c r="B50" s="281">
        <f>B32*B12+C32*C12+D32*D12</f>
        <v>0</v>
      </c>
      <c r="P50" t="s">
        <v>237</v>
      </c>
      <c r="Q50" s="281">
        <f>Q32*Q12</f>
        <v>0</v>
      </c>
      <c r="R50" s="281">
        <f>R32*R12</f>
        <v>0</v>
      </c>
    </row>
    <row r="51" spans="1:18" ht="12.75">
      <c r="A51" t="s">
        <v>234</v>
      </c>
      <c r="B51" s="281">
        <f>B36*B16+C36*C16+D36*D16</f>
        <v>0</v>
      </c>
      <c r="P51" t="s">
        <v>238</v>
      </c>
      <c r="Q51" s="281">
        <f>Q36*Q16</f>
        <v>0</v>
      </c>
      <c r="R51" s="281">
        <f>R36*R16</f>
        <v>0</v>
      </c>
    </row>
    <row r="52" spans="1:18" ht="12.75">
      <c r="A52" t="s">
        <v>235</v>
      </c>
      <c r="B52" s="281">
        <f>B40*B20+C40*C20+D40*D20</f>
        <v>0</v>
      </c>
      <c r="P52" t="s">
        <v>239</v>
      </c>
      <c r="Q52" s="281">
        <f>Q40*Q20</f>
        <v>0</v>
      </c>
      <c r="R52" s="281">
        <f>R40*R20</f>
        <v>0</v>
      </c>
    </row>
    <row r="53" spans="2:18" ht="12.75">
      <c r="B53" s="281">
        <f>SUM(B49:B52)</f>
        <v>0</v>
      </c>
      <c r="N53" s="281">
        <f>SUM(N28+N32+N36+N40)</f>
        <v>0</v>
      </c>
      <c r="Q53" s="281">
        <f>SUM(Q49:Q52)</f>
        <v>0</v>
      </c>
      <c r="R53" s="281">
        <f>SUM(R49:R52)</f>
        <v>0</v>
      </c>
    </row>
    <row r="55" spans="1:2" ht="12.75">
      <c r="A55" t="s">
        <v>240</v>
      </c>
      <c r="B55" s="283">
        <f>SUM(B29:D29)+SUM(B33:D33)+SUM(B37:D37)+SUM(B41:D41)</f>
        <v>0</v>
      </c>
    </row>
  </sheetData>
  <sheetProtection/>
  <mergeCells count="4">
    <mergeCell ref="A1:N1"/>
    <mergeCell ref="A5:N5"/>
    <mergeCell ref="P1:R1"/>
    <mergeCell ref="A26:N26"/>
  </mergeCells>
  <printOptions/>
  <pageMargins left="0.72" right="0.47" top="0.31" bottom="0.24" header="0.37" footer="0.2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0.7109375" style="2" customWidth="1"/>
    <col min="2" max="2" width="10.140625" style="7" bestFit="1" customWidth="1"/>
    <col min="3" max="3" width="10.140625" style="2" bestFit="1" customWidth="1"/>
    <col min="4" max="4" width="10.140625" style="7" bestFit="1" customWidth="1"/>
    <col min="5" max="5" width="27.7109375" style="2" customWidth="1"/>
    <col min="6" max="6" width="11.7109375" style="2" bestFit="1" customWidth="1"/>
    <col min="7" max="8" width="10.140625" style="2" bestFit="1" customWidth="1"/>
    <col min="9" max="16384" width="11.421875" style="2" customWidth="1"/>
  </cols>
  <sheetData>
    <row r="1" spans="1:8" ht="15" thickBot="1">
      <c r="A1" s="324" t="s">
        <v>33</v>
      </c>
      <c r="B1" s="322"/>
      <c r="C1" s="322"/>
      <c r="D1" s="322"/>
      <c r="E1" s="322"/>
      <c r="F1" s="322"/>
      <c r="G1" s="322"/>
      <c r="H1" s="323"/>
    </row>
    <row r="2" ht="5.25" customHeight="1"/>
    <row r="3" spans="1:8" s="12" customFormat="1" ht="18" customHeight="1">
      <c r="A3" s="13" t="s">
        <v>27</v>
      </c>
      <c r="B3" s="32">
        <f>'Plan de financement 3 ans'!B3</f>
        <v>2020</v>
      </c>
      <c r="C3" s="32">
        <f>'Plan de financement 3 ans'!C3</f>
        <v>2021</v>
      </c>
      <c r="D3" s="32">
        <f>'Plan de financement 3 ans'!D3</f>
        <v>2022</v>
      </c>
      <c r="E3" s="13" t="s">
        <v>65</v>
      </c>
      <c r="F3" s="32">
        <f>B3</f>
        <v>2020</v>
      </c>
      <c r="G3" s="32">
        <f>C3</f>
        <v>2021</v>
      </c>
      <c r="H3" s="32">
        <f>D3</f>
        <v>2022</v>
      </c>
    </row>
    <row r="4" spans="1:8" ht="12.75">
      <c r="A4" s="5" t="s">
        <v>137</v>
      </c>
      <c r="B4" s="257">
        <f>'Détail du Chiffre d''affaires'!N42</f>
        <v>0</v>
      </c>
      <c r="C4" s="257">
        <f>'Détail du Chiffre d''affaires'!Q42</f>
        <v>0</v>
      </c>
      <c r="D4" s="257">
        <f>'Détail du Chiffre d''affaires'!R42</f>
        <v>0</v>
      </c>
      <c r="E4" s="5" t="str">
        <f>'Détail du Chiffre d''affaires'!A6</f>
        <v> Produit / service 1</v>
      </c>
      <c r="F4" s="73">
        <f>'Détail du Chiffre d''affaires'!N6</f>
        <v>0</v>
      </c>
      <c r="G4" s="73">
        <f>'Détail du Chiffre d''affaires'!Q6</f>
        <v>0</v>
      </c>
      <c r="H4" s="73">
        <f>'Détail du Chiffre d''affaires'!R6</f>
        <v>0</v>
      </c>
    </row>
    <row r="5" spans="1:8" ht="12.75">
      <c r="A5" s="5" t="s">
        <v>108</v>
      </c>
      <c r="B5" s="255"/>
      <c r="C5" s="73">
        <f aca="true" t="shared" si="0" ref="C5:D8">B5*1.02</f>
        <v>0</v>
      </c>
      <c r="D5" s="73">
        <f t="shared" si="0"/>
        <v>0</v>
      </c>
      <c r="E5" s="5" t="str">
        <f>'Détail du Chiffre d''affaires'!A10</f>
        <v> Produit / service 2</v>
      </c>
      <c r="F5" s="73">
        <f>'Détail du Chiffre d''affaires'!N10</f>
        <v>0</v>
      </c>
      <c r="G5" s="73">
        <f>'Détail du Chiffre d''affaires'!Q10</f>
        <v>0</v>
      </c>
      <c r="H5" s="73">
        <f>'Détail du Chiffre d''affaires'!R10</f>
        <v>0</v>
      </c>
    </row>
    <row r="6" spans="1:8" ht="12.75">
      <c r="A6" s="5" t="s">
        <v>136</v>
      </c>
      <c r="B6" s="255"/>
      <c r="C6" s="73">
        <f t="shared" si="0"/>
        <v>0</v>
      </c>
      <c r="D6" s="73">
        <f t="shared" si="0"/>
        <v>0</v>
      </c>
      <c r="E6" s="5" t="str">
        <f>'Détail du Chiffre d''affaires'!A14</f>
        <v> Produit / service 3</v>
      </c>
      <c r="F6" s="73">
        <f>'Détail du Chiffre d''affaires'!N14</f>
        <v>0</v>
      </c>
      <c r="G6" s="73">
        <f>'Détail du Chiffre d''affaires'!Q14</f>
        <v>0</v>
      </c>
      <c r="H6" s="73">
        <f>'Détail du Chiffre d''affaires'!R14</f>
        <v>0</v>
      </c>
    </row>
    <row r="7" spans="1:8" ht="12.75">
      <c r="A7" s="5" t="s">
        <v>107</v>
      </c>
      <c r="B7" s="255"/>
      <c r="C7" s="73">
        <f t="shared" si="0"/>
        <v>0</v>
      </c>
      <c r="D7" s="73">
        <f t="shared" si="0"/>
        <v>0</v>
      </c>
      <c r="E7" s="5" t="str">
        <f>'Détail du Chiffre d''affaires'!A18</f>
        <v> Produit / service 4</v>
      </c>
      <c r="F7" s="73">
        <f>'Détail du Chiffre d''affaires'!N18</f>
        <v>0</v>
      </c>
      <c r="G7" s="73">
        <f>'Détail du Chiffre d''affaires'!Q18</f>
        <v>0</v>
      </c>
      <c r="H7" s="73">
        <f>'Détail du Chiffre d''affaires'!R18</f>
        <v>0</v>
      </c>
    </row>
    <row r="8" spans="1:8" ht="12.75">
      <c r="A8" s="5" t="s">
        <v>106</v>
      </c>
      <c r="B8" s="255"/>
      <c r="C8" s="73">
        <f t="shared" si="0"/>
        <v>0</v>
      </c>
      <c r="D8" s="73">
        <f t="shared" si="0"/>
        <v>0</v>
      </c>
      <c r="E8" s="5"/>
      <c r="F8" s="73"/>
      <c r="G8" s="73"/>
      <c r="H8" s="73"/>
    </row>
    <row r="9" spans="1:8" ht="12.75">
      <c r="A9" s="4" t="s">
        <v>105</v>
      </c>
      <c r="B9" s="75">
        <f>SUM(B4:B8)</f>
        <v>0</v>
      </c>
      <c r="C9" s="75">
        <f>SUM(C4:C8)</f>
        <v>0</v>
      </c>
      <c r="D9" s="75">
        <f>SUM(D4:D8)</f>
        <v>0</v>
      </c>
      <c r="E9" s="4" t="s">
        <v>69</v>
      </c>
      <c r="F9" s="75">
        <f>SUM(F4:F8)</f>
        <v>0</v>
      </c>
      <c r="G9" s="75">
        <f>SUM(G4:G8)</f>
        <v>0</v>
      </c>
      <c r="H9" s="75">
        <f>SUM(H4:H8)</f>
        <v>0</v>
      </c>
    </row>
    <row r="10" spans="1:8" ht="12.75">
      <c r="A10" s="5" t="s">
        <v>104</v>
      </c>
      <c r="B10" s="255"/>
      <c r="C10" s="73">
        <f aca="true" t="shared" si="1" ref="C10:D16">B10*1.02</f>
        <v>0</v>
      </c>
      <c r="D10" s="73">
        <f t="shared" si="1"/>
        <v>0</v>
      </c>
      <c r="E10" s="5"/>
      <c r="F10" s="73"/>
      <c r="G10" s="73"/>
      <c r="H10" s="73"/>
    </row>
    <row r="11" spans="1:8" ht="12.75">
      <c r="A11" s="5" t="s">
        <v>204</v>
      </c>
      <c r="B11" s="255"/>
      <c r="C11" s="73">
        <f t="shared" si="1"/>
        <v>0</v>
      </c>
      <c r="D11" s="73">
        <f t="shared" si="1"/>
        <v>0</v>
      </c>
      <c r="E11" s="5"/>
      <c r="F11" s="73"/>
      <c r="G11" s="73"/>
      <c r="H11" s="73"/>
    </row>
    <row r="12" spans="1:8" ht="12.75">
      <c r="A12" s="5" t="s">
        <v>205</v>
      </c>
      <c r="B12" s="255"/>
      <c r="C12" s="73">
        <f t="shared" si="1"/>
        <v>0</v>
      </c>
      <c r="D12" s="73">
        <f t="shared" si="1"/>
        <v>0</v>
      </c>
      <c r="E12" s="5"/>
      <c r="F12" s="73"/>
      <c r="G12" s="73"/>
      <c r="H12" s="73"/>
    </row>
    <row r="13" spans="1:8" ht="12.75">
      <c r="A13" s="5" t="s">
        <v>202</v>
      </c>
      <c r="B13" s="255"/>
      <c r="C13" s="73">
        <f t="shared" si="1"/>
        <v>0</v>
      </c>
      <c r="D13" s="73">
        <f t="shared" si="1"/>
        <v>0</v>
      </c>
      <c r="E13" s="5"/>
      <c r="F13" s="77"/>
      <c r="G13" s="73"/>
      <c r="H13" s="73"/>
    </row>
    <row r="14" spans="1:8" ht="12.75">
      <c r="A14" s="5" t="s">
        <v>153</v>
      </c>
      <c r="B14" s="255"/>
      <c r="C14" s="73">
        <f t="shared" si="1"/>
        <v>0</v>
      </c>
      <c r="D14" s="73">
        <f t="shared" si="1"/>
        <v>0</v>
      </c>
      <c r="E14" s="6" t="s">
        <v>70</v>
      </c>
      <c r="F14" s="257"/>
      <c r="G14" s="257"/>
      <c r="H14" s="257"/>
    </row>
    <row r="15" spans="1:8" ht="12.75">
      <c r="A15" s="5" t="s">
        <v>103</v>
      </c>
      <c r="B15" s="255"/>
      <c r="C15" s="73">
        <f t="shared" si="1"/>
        <v>0</v>
      </c>
      <c r="D15" s="73">
        <f t="shared" si="1"/>
        <v>0</v>
      </c>
      <c r="E15" s="6" t="s">
        <v>71</v>
      </c>
      <c r="F15" s="257"/>
      <c r="G15" s="257"/>
      <c r="H15" s="257"/>
    </row>
    <row r="16" spans="1:8" ht="12.75">
      <c r="A16" s="5" t="s">
        <v>200</v>
      </c>
      <c r="B16" s="255"/>
      <c r="C16" s="73">
        <f t="shared" si="1"/>
        <v>0</v>
      </c>
      <c r="D16" s="73">
        <f t="shared" si="1"/>
        <v>0</v>
      </c>
      <c r="E16" s="6" t="s">
        <v>72</v>
      </c>
      <c r="F16" s="257"/>
      <c r="G16" s="257"/>
      <c r="H16" s="257"/>
    </row>
    <row r="17" spans="1:8" ht="12.75">
      <c r="A17" s="5" t="s">
        <v>102</v>
      </c>
      <c r="B17" s="257">
        <f>SUM(B10:B16)*0.05</f>
        <v>0</v>
      </c>
      <c r="C17" s="257">
        <f>SUM(C10:C16)*0.05</f>
        <v>0</v>
      </c>
      <c r="D17" s="257">
        <f>SUM(D10:D16)*0.05</f>
        <v>0</v>
      </c>
      <c r="E17" s="267" t="s">
        <v>73</v>
      </c>
      <c r="F17" s="268">
        <f>SUM(F14:F16)</f>
        <v>0</v>
      </c>
      <c r="G17" s="268">
        <f>SUM(G13:G16)</f>
        <v>0</v>
      </c>
      <c r="H17" s="268">
        <f>SUM(H13:H16)</f>
        <v>0</v>
      </c>
    </row>
    <row r="18" spans="1:8" ht="12.75">
      <c r="A18" s="4" t="s">
        <v>101</v>
      </c>
      <c r="B18" s="75">
        <f>SUM(B10:B17)</f>
        <v>0</v>
      </c>
      <c r="C18" s="75">
        <f>SUM(C10:C17)</f>
        <v>0</v>
      </c>
      <c r="D18" s="75">
        <f>SUM(D10:D17)</f>
        <v>0</v>
      </c>
      <c r="E18" s="6"/>
      <c r="F18" s="257"/>
      <c r="G18" s="257"/>
      <c r="H18" s="257"/>
    </row>
    <row r="19" spans="1:8" ht="12.75">
      <c r="A19" s="5" t="s">
        <v>203</v>
      </c>
      <c r="B19" s="255"/>
      <c r="C19" s="73">
        <f aca="true" t="shared" si="2" ref="C19:D25">B19*1.02</f>
        <v>0</v>
      </c>
      <c r="D19" s="73">
        <f t="shared" si="2"/>
        <v>0</v>
      </c>
      <c r="E19" s="6" t="s">
        <v>74</v>
      </c>
      <c r="F19" s="257"/>
      <c r="G19" s="257"/>
      <c r="H19" s="257"/>
    </row>
    <row r="20" spans="1:8" ht="12.75">
      <c r="A20" s="5" t="s">
        <v>100</v>
      </c>
      <c r="B20" s="255"/>
      <c r="C20" s="73">
        <f t="shared" si="2"/>
        <v>0</v>
      </c>
      <c r="D20" s="73">
        <f t="shared" si="2"/>
        <v>0</v>
      </c>
      <c r="E20" s="6" t="s">
        <v>75</v>
      </c>
      <c r="F20" s="257"/>
      <c r="G20" s="257"/>
      <c r="H20" s="257"/>
    </row>
    <row r="21" spans="1:8" ht="12.75">
      <c r="A21" s="5" t="s">
        <v>99</v>
      </c>
      <c r="B21" s="255"/>
      <c r="C21" s="73">
        <f t="shared" si="2"/>
        <v>0</v>
      </c>
      <c r="D21" s="73">
        <f t="shared" si="2"/>
        <v>0</v>
      </c>
      <c r="E21" s="6" t="s">
        <v>76</v>
      </c>
      <c r="F21" s="257"/>
      <c r="G21" s="257"/>
      <c r="H21" s="257"/>
    </row>
    <row r="22" spans="1:8" ht="12.75">
      <c r="A22" s="5" t="s">
        <v>98</v>
      </c>
      <c r="B22" s="255"/>
      <c r="C22" s="73">
        <f t="shared" si="2"/>
        <v>0</v>
      </c>
      <c r="D22" s="73">
        <f t="shared" si="2"/>
        <v>0</v>
      </c>
      <c r="E22" s="6" t="s">
        <v>77</v>
      </c>
      <c r="F22" s="257"/>
      <c r="G22" s="257"/>
      <c r="H22" s="257"/>
    </row>
    <row r="23" spans="1:8" ht="12.75">
      <c r="A23" s="5" t="s">
        <v>97</v>
      </c>
      <c r="B23" s="255"/>
      <c r="C23" s="73">
        <f t="shared" si="2"/>
        <v>0</v>
      </c>
      <c r="D23" s="73">
        <f t="shared" si="2"/>
        <v>0</v>
      </c>
      <c r="E23" s="6" t="s">
        <v>78</v>
      </c>
      <c r="F23" s="257"/>
      <c r="G23" s="257"/>
      <c r="H23" s="257"/>
    </row>
    <row r="24" spans="1:8" ht="12.75">
      <c r="A24" s="5" t="s">
        <v>201</v>
      </c>
      <c r="B24" s="255"/>
      <c r="C24" s="73">
        <f t="shared" si="2"/>
        <v>0</v>
      </c>
      <c r="D24" s="73">
        <f t="shared" si="2"/>
        <v>0</v>
      </c>
      <c r="E24" s="6"/>
      <c r="F24" s="257"/>
      <c r="G24" s="257"/>
      <c r="H24" s="257"/>
    </row>
    <row r="25" spans="1:8" ht="12.75">
      <c r="A25" s="5" t="s">
        <v>96</v>
      </c>
      <c r="B25" s="255"/>
      <c r="C25" s="73">
        <f t="shared" si="2"/>
        <v>0</v>
      </c>
      <c r="D25" s="73">
        <f t="shared" si="2"/>
        <v>0</v>
      </c>
      <c r="E25" s="6" t="s">
        <v>79</v>
      </c>
      <c r="F25" s="257"/>
      <c r="G25" s="257"/>
      <c r="H25" s="257"/>
    </row>
    <row r="26" spans="1:8" ht="12.75">
      <c r="A26" s="5" t="s">
        <v>214</v>
      </c>
      <c r="B26" s="257">
        <f>SUM(B19:B25)*0.05</f>
        <v>0</v>
      </c>
      <c r="C26" s="257">
        <f>SUM(C19:C25)*0.05</f>
        <v>0</v>
      </c>
      <c r="D26" s="257">
        <f>SUM(D19:D25)*0.05</f>
        <v>0</v>
      </c>
      <c r="E26" s="6" t="s">
        <v>80</v>
      </c>
      <c r="F26" s="257"/>
      <c r="G26" s="257"/>
      <c r="H26" s="257"/>
    </row>
    <row r="27" spans="1:8" ht="12.75">
      <c r="A27" s="4" t="s">
        <v>95</v>
      </c>
      <c r="B27" s="75">
        <f>SUM(B19:B26)</f>
        <v>0</v>
      </c>
      <c r="C27" s="75">
        <f>SUM(C19:C26)</f>
        <v>0</v>
      </c>
      <c r="D27" s="75">
        <f>SUM(D19:D26)</f>
        <v>0</v>
      </c>
      <c r="E27" s="267" t="s">
        <v>81</v>
      </c>
      <c r="F27" s="268">
        <f>SUM(F19:F26)</f>
        <v>0</v>
      </c>
      <c r="G27" s="268">
        <f>SUM(G19:G26)</f>
        <v>0</v>
      </c>
      <c r="H27" s="268">
        <f>SUM(H19:H26)</f>
        <v>0</v>
      </c>
    </row>
    <row r="28" spans="1:8" ht="12.75">
      <c r="A28" s="5" t="s">
        <v>223</v>
      </c>
      <c r="B28" s="255"/>
      <c r="C28" s="255">
        <f>B28*1.05</f>
        <v>0</v>
      </c>
      <c r="D28" s="255">
        <f>C28*1.04</f>
        <v>0</v>
      </c>
      <c r="E28" s="5"/>
      <c r="F28" s="73"/>
      <c r="G28" s="73"/>
      <c r="H28" s="73"/>
    </row>
    <row r="29" spans="1:8" ht="12.75">
      <c r="A29" s="5" t="s">
        <v>190</v>
      </c>
      <c r="B29" s="255"/>
      <c r="C29" s="255"/>
      <c r="D29" s="255"/>
      <c r="E29" s="5"/>
      <c r="F29" s="73"/>
      <c r="G29" s="73"/>
      <c r="H29" s="73"/>
    </row>
    <row r="30" spans="1:8" ht="12.75">
      <c r="A30" s="5" t="s">
        <v>224</v>
      </c>
      <c r="B30" s="73">
        <f>B28*40%</f>
        <v>0</v>
      </c>
      <c r="C30" s="73">
        <f>C28*40%</f>
        <v>0</v>
      </c>
      <c r="D30" s="73">
        <f>D28*40%</f>
        <v>0</v>
      </c>
      <c r="E30" s="5"/>
      <c r="F30" s="73"/>
      <c r="G30" s="73"/>
      <c r="H30" s="73"/>
    </row>
    <row r="31" spans="1:8" ht="12.75">
      <c r="A31" s="5" t="s">
        <v>94</v>
      </c>
      <c r="B31" s="255"/>
      <c r="C31" s="255"/>
      <c r="D31" s="255"/>
      <c r="E31" s="5"/>
      <c r="F31" s="73"/>
      <c r="G31" s="73"/>
      <c r="H31" s="73"/>
    </row>
    <row r="32" spans="1:11" ht="12.75">
      <c r="A32" s="5" t="s">
        <v>93</v>
      </c>
      <c r="B32" s="73"/>
      <c r="C32" s="73"/>
      <c r="D32" s="73"/>
      <c r="E32" s="5"/>
      <c r="F32" s="73"/>
      <c r="G32" s="73"/>
      <c r="H32" s="73"/>
      <c r="K32" s="228"/>
    </row>
    <row r="33" spans="1:11" ht="12.75">
      <c r="A33" s="4" t="s">
        <v>92</v>
      </c>
      <c r="B33" s="75">
        <f>SUM(B28:B32)</f>
        <v>0</v>
      </c>
      <c r="C33" s="75">
        <f>SUM(C28:C32)</f>
        <v>0</v>
      </c>
      <c r="D33" s="75">
        <f>SUM(D28:D32)</f>
        <v>0</v>
      </c>
      <c r="E33" s="5"/>
      <c r="F33" s="73"/>
      <c r="G33" s="73"/>
      <c r="H33" s="73"/>
      <c r="K33" s="228"/>
    </row>
    <row r="34" spans="1:8" ht="12.75">
      <c r="A34" s="5" t="s">
        <v>91</v>
      </c>
      <c r="B34" s="255"/>
      <c r="C34" s="255"/>
      <c r="D34" s="255"/>
      <c r="E34" s="5"/>
      <c r="F34" s="73"/>
      <c r="G34" s="73"/>
      <c r="H34" s="73"/>
    </row>
    <row r="35" spans="1:8" ht="12.75">
      <c r="A35" s="5" t="s">
        <v>90</v>
      </c>
      <c r="B35" s="255"/>
      <c r="C35" s="255"/>
      <c r="D35" s="255"/>
      <c r="E35" s="53"/>
      <c r="F35" s="73"/>
      <c r="G35" s="73"/>
      <c r="H35" s="73"/>
    </row>
    <row r="36" spans="1:10" ht="12.75">
      <c r="A36" s="6" t="s">
        <v>89</v>
      </c>
      <c r="B36" s="257"/>
      <c r="C36" s="257"/>
      <c r="D36" s="257"/>
      <c r="E36" s="259"/>
      <c r="F36" s="257"/>
      <c r="G36" s="257"/>
      <c r="H36" s="257"/>
      <c r="I36" s="17"/>
      <c r="J36" s="17"/>
    </row>
    <row r="37" spans="1:10" ht="12.75">
      <c r="A37" s="6" t="s">
        <v>88</v>
      </c>
      <c r="B37" s="257"/>
      <c r="C37" s="257"/>
      <c r="D37" s="257"/>
      <c r="E37" s="259"/>
      <c r="F37" s="257"/>
      <c r="G37" s="257"/>
      <c r="H37" s="257"/>
      <c r="I37" s="17"/>
      <c r="J37" s="17"/>
    </row>
    <row r="38" spans="1:8" ht="12.75">
      <c r="A38" s="4" t="s">
        <v>87</v>
      </c>
      <c r="B38" s="75">
        <f>SUM(B34:B37)</f>
        <v>0</v>
      </c>
      <c r="C38" s="75">
        <f>SUM(C34:C37)</f>
        <v>0</v>
      </c>
      <c r="D38" s="75">
        <f>SUM(D34:D37)</f>
        <v>0</v>
      </c>
      <c r="E38" s="53"/>
      <c r="F38" s="73"/>
      <c r="G38" s="73"/>
      <c r="H38" s="73"/>
    </row>
    <row r="39" spans="1:8" ht="12.75">
      <c r="A39" s="5" t="s">
        <v>86</v>
      </c>
      <c r="B39" s="73">
        <f>'Plan de trésorerie'!Q31</f>
        <v>0</v>
      </c>
      <c r="C39" s="73">
        <f>'Plan de trésorerie'!Q34</f>
        <v>0</v>
      </c>
      <c r="D39" s="73">
        <f>'Plan de trésorerie'!Q37</f>
        <v>0</v>
      </c>
      <c r="E39" s="53"/>
      <c r="F39" s="73"/>
      <c r="G39" s="73"/>
      <c r="H39" s="73"/>
    </row>
    <row r="40" spans="1:10" ht="12.75">
      <c r="A40" s="5" t="s">
        <v>85</v>
      </c>
      <c r="B40" s="73">
        <f>Immobilisations!G32</f>
        <v>0</v>
      </c>
      <c r="C40" s="73">
        <f>Immobilisations!J32</f>
        <v>0</v>
      </c>
      <c r="D40" s="73">
        <f>Immobilisations!M32</f>
        <v>0</v>
      </c>
      <c r="E40" s="53"/>
      <c r="F40" s="73"/>
      <c r="G40" s="73"/>
      <c r="H40" s="73"/>
      <c r="J40" s="229"/>
    </row>
    <row r="41" spans="1:8" s="12" customFormat="1" ht="13.5">
      <c r="A41" s="34" t="s">
        <v>84</v>
      </c>
      <c r="B41" s="232">
        <f>B9+B18+B27+B33+B38+B39+B40</f>
        <v>0</v>
      </c>
      <c r="C41" s="232">
        <f>C9+C18+C27+C33+C38+C39+C40</f>
        <v>0</v>
      </c>
      <c r="D41" s="232">
        <f>D9+D18+D27+D33+D38+D39+D40</f>
        <v>0</v>
      </c>
      <c r="E41" s="54" t="s">
        <v>82</v>
      </c>
      <c r="F41" s="232">
        <f>F9+F17+F27</f>
        <v>0</v>
      </c>
      <c r="G41" s="232">
        <f>SUM(G9+G17+G27)</f>
        <v>0</v>
      </c>
      <c r="H41" s="232">
        <f>SUM(H9+H17+H27)</f>
        <v>0</v>
      </c>
    </row>
    <row r="42" spans="1:10" s="12" customFormat="1" ht="13.5">
      <c r="A42" s="34" t="s">
        <v>222</v>
      </c>
      <c r="B42" s="232">
        <f>F41-B41</f>
        <v>0</v>
      </c>
      <c r="C42" s="232">
        <f>G41-C41</f>
        <v>0</v>
      </c>
      <c r="D42" s="232">
        <f>H41-D41</f>
        <v>0</v>
      </c>
      <c r="E42" s="227"/>
      <c r="F42" s="233"/>
      <c r="G42" s="233"/>
      <c r="H42" s="233"/>
      <c r="J42" s="231"/>
    </row>
    <row r="43" spans="1:8" s="12" customFormat="1" ht="13.5">
      <c r="A43" s="234" t="s">
        <v>207</v>
      </c>
      <c r="B43" s="233">
        <f>IF(B42&gt;38120,38120*$D$50+(B42-38120)*$D$51,B42*$D$50)</f>
        <v>0</v>
      </c>
      <c r="C43" s="233">
        <f>IF(C42&gt;38120,38120*$D$50+(C42-38120)*$D$51,C42*$D$50)</f>
        <v>0</v>
      </c>
      <c r="D43" s="233">
        <f>IF(D42&gt;38120,38120*$D$50+(D42-38120)*$D$51,D42*$D$50)</f>
        <v>0</v>
      </c>
      <c r="E43" s="227"/>
      <c r="F43" s="233"/>
      <c r="G43" s="233"/>
      <c r="H43" s="233"/>
    </row>
    <row r="44" spans="1:8" s="12" customFormat="1" ht="18" customHeight="1">
      <c r="A44" s="35" t="s">
        <v>206</v>
      </c>
      <c r="B44" s="76">
        <f>B42-B43</f>
        <v>0</v>
      </c>
      <c r="C44" s="76">
        <f>C42-C43</f>
        <v>0</v>
      </c>
      <c r="D44" s="76">
        <f>D42-D43</f>
        <v>0</v>
      </c>
      <c r="E44" s="55" t="s">
        <v>83</v>
      </c>
      <c r="F44" s="78"/>
      <c r="G44" s="78"/>
      <c r="H44" s="78"/>
    </row>
    <row r="45" spans="1:8" ht="13.5">
      <c r="A45" s="34" t="s">
        <v>130</v>
      </c>
      <c r="B45" s="61">
        <f>B44+B41+B43</f>
        <v>0</v>
      </c>
      <c r="C45" s="61">
        <f>C44+C41+C43</f>
        <v>0</v>
      </c>
      <c r="D45" s="61">
        <f>D44+D41+D43</f>
        <v>0</v>
      </c>
      <c r="E45" s="54" t="s">
        <v>130</v>
      </c>
      <c r="F45" s="61">
        <f>F44+F41</f>
        <v>0</v>
      </c>
      <c r="G45" s="61">
        <f>G44+G41</f>
        <v>0</v>
      </c>
      <c r="H45" s="61">
        <f>H44+H41</f>
        <v>0</v>
      </c>
    </row>
    <row r="47" ht="12.75">
      <c r="B47" s="230"/>
    </row>
    <row r="50" spans="2:4" ht="12.75">
      <c r="B50" s="237"/>
      <c r="C50" s="238" t="s">
        <v>210</v>
      </c>
      <c r="D50" s="239">
        <v>0.15</v>
      </c>
    </row>
    <row r="51" spans="2:4" ht="12.75">
      <c r="B51" s="237"/>
      <c r="C51" s="238" t="s">
        <v>211</v>
      </c>
      <c r="D51" s="239">
        <v>0.3333</v>
      </c>
    </row>
  </sheetData>
  <sheetProtection/>
  <mergeCells count="1">
    <mergeCell ref="A1:H1"/>
  </mergeCells>
  <printOptions/>
  <pageMargins left="0.72" right="0.47" top="0.31" bottom="0.24" header="0.37" footer="0.23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PageLayoutView="0" workbookViewId="0" topLeftCell="B1">
      <selection activeCell="C38" sqref="C38"/>
    </sheetView>
  </sheetViews>
  <sheetFormatPr defaultColWidth="11.421875" defaultRowHeight="12.75"/>
  <cols>
    <col min="1" max="1" width="6.421875" style="2" hidden="1" customWidth="1"/>
    <col min="2" max="2" width="31.28125" style="2" customWidth="1"/>
    <col min="3" max="3" width="7.8515625" style="2" bestFit="1" customWidth="1"/>
    <col min="4" max="5" width="7.28125" style="2" customWidth="1"/>
    <col min="6" max="6" width="6.7109375" style="2" bestFit="1" customWidth="1"/>
    <col min="7" max="13" width="7.28125" style="2" customWidth="1"/>
    <col min="14" max="14" width="7.7109375" style="2" customWidth="1"/>
    <col min="15" max="15" width="8.7109375" style="2" customWidth="1"/>
    <col min="16" max="16384" width="11.421875" style="2" customWidth="1"/>
  </cols>
  <sheetData>
    <row r="1" spans="1:15" ht="15" thickBot="1">
      <c r="A1" s="324" t="s">
        <v>35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3"/>
    </row>
    <row r="2" spans="1:15" ht="8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2" customFormat="1" ht="18" customHeight="1">
      <c r="B3" s="23" t="s">
        <v>152</v>
      </c>
    </row>
    <row r="4" spans="2:15" ht="11.25" customHeight="1">
      <c r="B4" s="139" t="s">
        <v>5</v>
      </c>
      <c r="C4" s="31">
        <f>'Détail du Chiffre d''affaires'!B4</f>
        <v>43831</v>
      </c>
      <c r="D4" s="31">
        <f>'Détail du Chiffre d''affaires'!C4</f>
        <v>43862</v>
      </c>
      <c r="E4" s="31">
        <f>'Détail du Chiffre d''affaires'!D4</f>
        <v>43891</v>
      </c>
      <c r="F4" s="31">
        <f>'Détail du Chiffre d''affaires'!E4</f>
        <v>43922</v>
      </c>
      <c r="G4" s="31">
        <f>'Détail du Chiffre d''affaires'!F4</f>
        <v>43952</v>
      </c>
      <c r="H4" s="31">
        <f>'Détail du Chiffre d''affaires'!G4</f>
        <v>43983</v>
      </c>
      <c r="I4" s="31">
        <f>'Détail du Chiffre d''affaires'!H4</f>
        <v>44013</v>
      </c>
      <c r="J4" s="31">
        <f>'Détail du Chiffre d''affaires'!I4</f>
        <v>44044</v>
      </c>
      <c r="K4" s="31">
        <f>'Détail du Chiffre d''affaires'!J4</f>
        <v>44075</v>
      </c>
      <c r="L4" s="31">
        <f>'Détail du Chiffre d''affaires'!K4</f>
        <v>44105</v>
      </c>
      <c r="M4" s="31">
        <f>'Détail du Chiffre d''affaires'!L4</f>
        <v>44136</v>
      </c>
      <c r="N4" s="31">
        <f>'Détail du Chiffre d''affaires'!M4</f>
        <v>44166</v>
      </c>
      <c r="O4" s="139" t="s">
        <v>6</v>
      </c>
    </row>
    <row r="5" spans="2:15" ht="11.25" customHeight="1">
      <c r="B5" s="140" t="s">
        <v>141</v>
      </c>
      <c r="C5" s="46"/>
      <c r="D5" s="46">
        <f>C45</f>
        <v>0</v>
      </c>
      <c r="E5" s="46">
        <f aca="true" t="shared" si="0" ref="E5:N5">D45</f>
        <v>0</v>
      </c>
      <c r="F5" s="46">
        <f t="shared" si="0"/>
        <v>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/>
    </row>
    <row r="6" spans="2:15" ht="11.25" customHeight="1" thickBot="1">
      <c r="B6" s="141" t="s">
        <v>34</v>
      </c>
      <c r="C6" s="343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5"/>
    </row>
    <row r="7" spans="2:15" ht="11.25" customHeight="1">
      <c r="B7" s="142" t="s">
        <v>49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2:15" ht="11.25" customHeight="1">
      <c r="B8" s="144" t="str">
        <f>'Plan de financement 3 ans'!E5</f>
        <v>Apport en capital</v>
      </c>
      <c r="C8" s="143">
        <f>'Plan de financement 3 ans'!F5</f>
        <v>0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5"/>
      <c r="O8" s="143">
        <f aca="true" t="shared" si="1" ref="O8:O19">SUM(C8:N8)</f>
        <v>0</v>
      </c>
    </row>
    <row r="9" spans="2:15" ht="11.25" customHeight="1">
      <c r="B9" s="144" t="str">
        <f>'Plan de financement 3 ans'!E6</f>
        <v>Apport en nature</v>
      </c>
      <c r="C9" s="143">
        <f>'Plan de financement 3 ans'!F6</f>
        <v>0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5"/>
      <c r="O9" s="143">
        <f t="shared" si="1"/>
        <v>0</v>
      </c>
    </row>
    <row r="10" spans="2:15" ht="11.25" customHeight="1">
      <c r="B10" s="144" t="str">
        <f>'Plan de financement 3 ans'!E7</f>
        <v>Compte courant d'associés</v>
      </c>
      <c r="C10" s="143">
        <f>'Plan de financement 3 ans'!F7</f>
        <v>0</v>
      </c>
      <c r="E10" s="147"/>
      <c r="F10" s="143"/>
      <c r="G10" s="143"/>
      <c r="H10" s="143"/>
      <c r="I10" s="143"/>
      <c r="J10" s="143"/>
      <c r="K10" s="143"/>
      <c r="L10" s="143"/>
      <c r="M10" s="143"/>
      <c r="N10" s="145"/>
      <c r="O10" s="143">
        <f>SUM(C10:N10)</f>
        <v>0</v>
      </c>
    </row>
    <row r="11" spans="2:15" ht="11.25" customHeight="1">
      <c r="B11" s="144" t="str">
        <f>'Plan de financement 3 ans'!E9</f>
        <v>Prêt d'honneur PFI</v>
      </c>
      <c r="C11" s="143">
        <f>'Plan de financement 3 ans'!F9</f>
        <v>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5"/>
      <c r="O11" s="143">
        <f t="shared" si="1"/>
        <v>0</v>
      </c>
    </row>
    <row r="12" spans="2:15" ht="11.25" customHeight="1">
      <c r="B12" s="144" t="str">
        <f>'Plan de financement 3 ans'!E10</f>
        <v>Autre prêt d'honneur</v>
      </c>
      <c r="C12" s="143">
        <f>'Plan de financement démarrage'!D10</f>
        <v>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5"/>
      <c r="O12" s="143"/>
    </row>
    <row r="13" spans="2:15" ht="11.25" customHeight="1">
      <c r="B13" s="144" t="str">
        <f>'Plan de financement démarrage'!C15</f>
        <v>Crowdfounding</v>
      </c>
      <c r="C13" s="143">
        <f>'Plan de financement 3 ans'!F15</f>
        <v>0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5"/>
      <c r="O13" s="143">
        <f t="shared" si="1"/>
        <v>0</v>
      </c>
    </row>
    <row r="14" spans="2:15" ht="11.25" customHeight="1">
      <c r="B14" s="144" t="str">
        <f>'Plan de financement démarrage'!C16</f>
        <v>Agefiph</v>
      </c>
      <c r="C14" s="143">
        <f>'Plan de financement 3 ans'!F16</f>
        <v>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5"/>
      <c r="O14" s="143">
        <f t="shared" si="1"/>
        <v>0</v>
      </c>
    </row>
    <row r="15" spans="2:15" ht="11.25" customHeight="1">
      <c r="B15" s="144" t="str">
        <f>'Plan de financement démarrage'!C17</f>
        <v>Fondation</v>
      </c>
      <c r="C15" s="143">
        <f>'Plan de financement 3 ans'!F17</f>
        <v>0</v>
      </c>
      <c r="D15" s="143"/>
      <c r="E15" s="143"/>
      <c r="F15" s="146"/>
      <c r="G15" s="143"/>
      <c r="H15" s="143"/>
      <c r="I15" s="143"/>
      <c r="J15" s="143"/>
      <c r="K15" s="143"/>
      <c r="L15" s="143"/>
      <c r="M15" s="143"/>
      <c r="N15" s="145"/>
      <c r="O15" s="143">
        <f t="shared" si="1"/>
        <v>0</v>
      </c>
    </row>
    <row r="16" spans="2:15" ht="11.25" customHeight="1">
      <c r="B16" s="144" t="str">
        <f>'Plan de financement démarrage'!C25</f>
        <v>Emprunt long terme (LT)</v>
      </c>
      <c r="C16" s="143">
        <f>'Plan de financement 3 ans'!F25</f>
        <v>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5"/>
      <c r="O16" s="143">
        <f t="shared" si="1"/>
        <v>0</v>
      </c>
    </row>
    <row r="17" spans="2:15" ht="11.25" customHeight="1">
      <c r="B17" s="144" t="str">
        <f>'Plan de financement démarrage'!C26</f>
        <v>Emprunt MT CT</v>
      </c>
      <c r="C17" s="143">
        <f>'Plan de financement 3 ans'!F26</f>
        <v>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5"/>
      <c r="O17" s="143">
        <f t="shared" si="1"/>
        <v>0</v>
      </c>
    </row>
    <row r="18" spans="2:15" ht="11.25" customHeight="1">
      <c r="B18" s="144" t="str">
        <f>'Plan de financement démarrage'!C27</f>
        <v>Autres emprunts :</v>
      </c>
      <c r="C18" s="143">
        <f>'Plan de financement 3 ans'!F27</f>
        <v>0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5"/>
      <c r="O18" s="143">
        <f t="shared" si="1"/>
        <v>0</v>
      </c>
    </row>
    <row r="19" spans="2:15" ht="11.25" customHeight="1">
      <c r="B19" s="144" t="str">
        <f>'Plan de financement démarrage'!C30</f>
        <v>Crédit relais TVA</v>
      </c>
      <c r="C19" s="143">
        <f>'Plan de financement 3 ans'!F30</f>
        <v>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5"/>
      <c r="O19" s="143">
        <f t="shared" si="1"/>
        <v>0</v>
      </c>
    </row>
    <row r="20" spans="2:15" ht="11.25" customHeight="1">
      <c r="B20" s="148" t="s">
        <v>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49"/>
    </row>
    <row r="21" spans="2:26" ht="11.25" customHeight="1" thickBot="1">
      <c r="B21" s="144" t="s">
        <v>7</v>
      </c>
      <c r="C21" s="149">
        <f>'Détail du Chiffre d''affaires'!B21*Immobilisations!$Q$10</f>
        <v>0</v>
      </c>
      <c r="D21" s="149">
        <f>'Détail du Chiffre d''affaires'!C21*Immobilisations!$Q$10</f>
        <v>0</v>
      </c>
      <c r="E21" s="149">
        <f>'Détail du Chiffre d''affaires'!D21*Immobilisations!$Q$10</f>
        <v>0</v>
      </c>
      <c r="F21" s="149">
        <f>'Détail du Chiffre d''affaires'!E21*Immobilisations!$Q$10</f>
        <v>0</v>
      </c>
      <c r="G21" s="149">
        <f>'Détail du Chiffre d''affaires'!F21*Immobilisations!$Q$10</f>
        <v>0</v>
      </c>
      <c r="H21" s="149">
        <f>'Détail du Chiffre d''affaires'!G21*Immobilisations!$Q$10</f>
        <v>0</v>
      </c>
      <c r="I21" s="149">
        <f>'Détail du Chiffre d''affaires'!H21*Immobilisations!$Q$10</f>
        <v>0</v>
      </c>
      <c r="J21" s="149">
        <f>'Détail du Chiffre d''affaires'!I21*Immobilisations!$Q$10</f>
        <v>0</v>
      </c>
      <c r="K21" s="149">
        <f>'Détail du Chiffre d''affaires'!J21*Immobilisations!$Q$10</f>
        <v>0</v>
      </c>
      <c r="L21" s="149">
        <f>'Détail du Chiffre d''affaires'!K21*Immobilisations!$Q$10</f>
        <v>0</v>
      </c>
      <c r="M21" s="149">
        <f>'Détail du Chiffre d''affaires'!L21*Immobilisations!$Q$10</f>
        <v>0</v>
      </c>
      <c r="N21" s="149">
        <f>'Détail du Chiffre d''affaires'!M21*Immobilisations!$Q$10</f>
        <v>0</v>
      </c>
      <c r="O21" s="149">
        <f>SUM(C21:N21)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1.25" customHeight="1" thickBot="1">
      <c r="B22" s="151" t="s">
        <v>8</v>
      </c>
      <c r="C22" s="152">
        <f aca="true" t="shared" si="2" ref="C22:N22">SUM(C8:C21)</f>
        <v>0</v>
      </c>
      <c r="D22" s="152">
        <f t="shared" si="2"/>
        <v>0</v>
      </c>
      <c r="E22" s="152">
        <f t="shared" si="2"/>
        <v>0</v>
      </c>
      <c r="F22" s="152">
        <f t="shared" si="2"/>
        <v>0</v>
      </c>
      <c r="G22" s="152">
        <f t="shared" si="2"/>
        <v>0</v>
      </c>
      <c r="H22" s="152">
        <f t="shared" si="2"/>
        <v>0</v>
      </c>
      <c r="I22" s="152">
        <f t="shared" si="2"/>
        <v>0</v>
      </c>
      <c r="J22" s="152">
        <f t="shared" si="2"/>
        <v>0</v>
      </c>
      <c r="K22" s="152">
        <f t="shared" si="2"/>
        <v>0</v>
      </c>
      <c r="L22" s="152">
        <f t="shared" si="2"/>
        <v>0</v>
      </c>
      <c r="M22" s="152">
        <f t="shared" si="2"/>
        <v>0</v>
      </c>
      <c r="N22" s="152">
        <f t="shared" si="2"/>
        <v>0</v>
      </c>
      <c r="O22" s="153">
        <f>SUM(C22:N22)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1.25" customHeight="1" thickBot="1"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1.25" customHeight="1">
      <c r="B24" s="157" t="s">
        <v>59</v>
      </c>
      <c r="C24" s="344"/>
      <c r="D24" s="344"/>
      <c r="E24" s="344"/>
      <c r="F24" s="344"/>
      <c r="G24" s="346"/>
      <c r="H24" s="346"/>
      <c r="I24" s="346"/>
      <c r="J24" s="346"/>
      <c r="K24" s="346"/>
      <c r="L24" s="346"/>
      <c r="M24" s="346"/>
      <c r="N24" s="346"/>
      <c r="O24" s="34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1.25" customHeight="1">
      <c r="B25" s="158" t="s">
        <v>51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1.25" customHeight="1">
      <c r="B26" s="160" t="s">
        <v>1</v>
      </c>
      <c r="C26" s="159">
        <f>'Plan de financement démarrage'!B5+SUM('Plan de financement démarrage'!B6:B11)*Immobilisations!Q9</f>
        <v>0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>
        <f>SUM(C26:N26)</f>
        <v>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1.25" customHeight="1">
      <c r="B27" s="160" t="s">
        <v>2</v>
      </c>
      <c r="C27" s="159">
        <f>'Plan de financement démarrage'!B22*Immobilisations!Q9</f>
        <v>0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>
        <f>SUM(C27:N27)</f>
        <v>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1.25" customHeight="1">
      <c r="B28" s="144" t="s">
        <v>3</v>
      </c>
      <c r="C28" s="159">
        <f>'Plan de financement 3 ans'!B27</f>
        <v>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>
        <f>SUM(C28:N28)</f>
        <v>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1.25" customHeight="1" thickBot="1">
      <c r="B29" s="144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1.25" customHeight="1">
      <c r="B30" s="160" t="s">
        <v>22</v>
      </c>
      <c r="C30" s="159">
        <f>'Plan de financement 3 ans'!B30*Immobilisations!Q8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>
        <f>SUM(C30:N30)</f>
        <v>0</v>
      </c>
      <c r="P30" s="17"/>
      <c r="Q30" s="217" t="s">
        <v>187</v>
      </c>
      <c r="R30" s="218"/>
      <c r="S30" s="219"/>
      <c r="T30" s="17"/>
      <c r="U30" s="17"/>
      <c r="V30" s="17"/>
      <c r="W30" s="17"/>
      <c r="X30" s="17"/>
      <c r="Y30" s="17"/>
      <c r="Z30" s="17"/>
    </row>
    <row r="31" spans="2:26" ht="11.25" customHeight="1">
      <c r="B31" s="161" t="s">
        <v>208</v>
      </c>
      <c r="C31" s="162">
        <f>('Plan de financement 3 ans'!$B$33+'Plan de trésorerie'!$Q$31)/12</f>
        <v>0</v>
      </c>
      <c r="D31" s="162">
        <f>('Plan de financement 3 ans'!$B$33+'Plan de trésorerie'!$Q$31)/12</f>
        <v>0</v>
      </c>
      <c r="E31" s="162">
        <f>('Plan de financement 3 ans'!$B$33+'Plan de trésorerie'!$Q$31)/12</f>
        <v>0</v>
      </c>
      <c r="F31" s="162">
        <f>('Plan de financement 3 ans'!$B$33+'Plan de trésorerie'!$Q$31)/12</f>
        <v>0</v>
      </c>
      <c r="G31" s="162">
        <f>('Plan de financement 3 ans'!$B$33+'Plan de trésorerie'!$Q$31)/12</f>
        <v>0</v>
      </c>
      <c r="H31" s="162">
        <f>('Plan de financement 3 ans'!$B$33+'Plan de trésorerie'!$Q$31)/12</f>
        <v>0</v>
      </c>
      <c r="I31" s="162">
        <f>('Plan de financement 3 ans'!$B$33+'Plan de trésorerie'!$Q$31)/12</f>
        <v>0</v>
      </c>
      <c r="J31" s="162">
        <f>('Plan de financement 3 ans'!$B$33+'Plan de trésorerie'!$Q$31)/12</f>
        <v>0</v>
      </c>
      <c r="K31" s="162">
        <f>('Plan de financement 3 ans'!$B$33+'Plan de trésorerie'!$Q$31)/12</f>
        <v>0</v>
      </c>
      <c r="L31" s="162">
        <f>('Plan de financement 3 ans'!$B$33+'Plan de trésorerie'!$Q$31)/12</f>
        <v>0</v>
      </c>
      <c r="M31" s="162">
        <f>('Plan de financement 3 ans'!$B$33+'Plan de trésorerie'!$Q$31)/12</f>
        <v>0</v>
      </c>
      <c r="N31" s="162">
        <f>('Plan de financement 3 ans'!$B$33+'Plan de trésorerie'!$Q$31)/12</f>
        <v>0</v>
      </c>
      <c r="O31" s="162">
        <f>SUM(C31:N31)</f>
        <v>0</v>
      </c>
      <c r="P31" s="17"/>
      <c r="Q31" s="220">
        <f>SUM('EMPRUNT bancaire'!K3:K14)</f>
        <v>0</v>
      </c>
      <c r="R31" s="9"/>
      <c r="S31" s="221"/>
      <c r="T31" s="17"/>
      <c r="U31" s="17"/>
      <c r="V31" s="17"/>
      <c r="W31" s="17"/>
      <c r="X31" s="17"/>
      <c r="Y31" s="17"/>
      <c r="Z31" s="17"/>
    </row>
    <row r="32" spans="2:26" ht="11.25" customHeight="1">
      <c r="B32" s="161" t="s">
        <v>26</v>
      </c>
      <c r="C32" s="162">
        <f>'Plan de financement 3 ans'!$B$34/12</f>
        <v>0</v>
      </c>
      <c r="D32" s="162">
        <f>'Plan de financement 3 ans'!$B$34/12</f>
        <v>0</v>
      </c>
      <c r="E32" s="162">
        <f>'Plan de financement 3 ans'!$B$34/12</f>
        <v>0</v>
      </c>
      <c r="F32" s="162">
        <f>'Plan de financement 3 ans'!$B$34/12</f>
        <v>0</v>
      </c>
      <c r="G32" s="162">
        <f>'Plan de financement 3 ans'!$B$34/12</f>
        <v>0</v>
      </c>
      <c r="H32" s="162">
        <f>'Plan de financement 3 ans'!$B$34/12+'Plan de financement démarrage'!D30*1.02</f>
        <v>0</v>
      </c>
      <c r="I32" s="162">
        <f>'Plan de financement 3 ans'!$B$34/12</f>
        <v>0</v>
      </c>
      <c r="J32" s="162">
        <f>'Plan de financement 3 ans'!$B$34/12</f>
        <v>0</v>
      </c>
      <c r="K32" s="162">
        <f>'Plan de financement 3 ans'!$B$34/12</f>
        <v>0</v>
      </c>
      <c r="L32" s="162">
        <f>'Plan de financement 3 ans'!$B$34/12</f>
        <v>0</v>
      </c>
      <c r="M32" s="162">
        <f>'Plan de financement 3 ans'!$B$34/12</f>
        <v>0</v>
      </c>
      <c r="N32" s="162">
        <f>'Plan de financement 3 ans'!$B$34/12</f>
        <v>0</v>
      </c>
      <c r="O32" s="162">
        <f>SUM(C32:N32)</f>
        <v>0</v>
      </c>
      <c r="P32" s="17"/>
      <c r="Q32" s="222"/>
      <c r="R32" s="9"/>
      <c r="S32" s="221"/>
      <c r="T32" s="17"/>
      <c r="U32" s="17"/>
      <c r="V32" s="17"/>
      <c r="W32" s="17"/>
      <c r="X32" s="17"/>
      <c r="Y32" s="17"/>
      <c r="Z32" s="17"/>
    </row>
    <row r="33" spans="2:26" ht="11.25" customHeight="1">
      <c r="B33" s="163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7"/>
      <c r="Q33" s="222" t="s">
        <v>188</v>
      </c>
      <c r="R33" s="9"/>
      <c r="S33" s="221"/>
      <c r="T33" s="17"/>
      <c r="U33" s="17"/>
      <c r="V33" s="17"/>
      <c r="W33" s="17"/>
      <c r="X33" s="17"/>
      <c r="Y33" s="17"/>
      <c r="Z33" s="17"/>
    </row>
    <row r="34" spans="2:26" ht="11.25" customHeight="1">
      <c r="B34" s="163" t="s">
        <v>52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7"/>
      <c r="Q34" s="223">
        <f>SUM('EMPRUNT bancaire'!K15:K26)</f>
        <v>0</v>
      </c>
      <c r="R34" s="9"/>
      <c r="S34" s="221"/>
      <c r="T34" s="17"/>
      <c r="U34" s="17"/>
      <c r="V34" s="17"/>
      <c r="W34" s="17"/>
      <c r="X34" s="17"/>
      <c r="Y34" s="17"/>
      <c r="Z34" s="17"/>
    </row>
    <row r="35" spans="2:26" ht="11.25" customHeight="1">
      <c r="B35" s="161" t="s">
        <v>28</v>
      </c>
      <c r="C35" s="162">
        <f>'Détail du Chiffre d''affaires'!B42*Immobilisations!$Q$8+(SUM('Compte de résultat sur 3 ans'!$B$5:$B$8)*Immobilisations!$Q$8)/12</f>
        <v>0</v>
      </c>
      <c r="D35" s="162">
        <f>'Détail du Chiffre d''affaires'!C42*Immobilisations!$Q$8+(SUM('Compte de résultat sur 3 ans'!$B$5:$B$8)*Immobilisations!$Q$8)/12</f>
        <v>0</v>
      </c>
      <c r="E35" s="162">
        <f>'Détail du Chiffre d''affaires'!D42*Immobilisations!$Q$8+(SUM('Compte de résultat sur 3 ans'!$B$5:$B$8)*Immobilisations!$Q$8)/12</f>
        <v>0</v>
      </c>
      <c r="F35" s="162">
        <f>'Détail du Chiffre d''affaires'!E42*Immobilisations!$Q$8+(SUM('Compte de résultat sur 3 ans'!$B$5:$B$8)*Immobilisations!$Q$8)/12</f>
        <v>0</v>
      </c>
      <c r="G35" s="162">
        <f>'Détail du Chiffre d''affaires'!F42*Immobilisations!$Q$8+(SUM('Compte de résultat sur 3 ans'!$B$5:$B$8)*Immobilisations!$Q$8)/12</f>
        <v>0</v>
      </c>
      <c r="H35" s="162">
        <f>'Détail du Chiffre d''affaires'!G42*Immobilisations!$Q$8+(SUM('Compte de résultat sur 3 ans'!$B$5:$B$8)*Immobilisations!$Q$8)/12</f>
        <v>0</v>
      </c>
      <c r="I35" s="162">
        <f>'Détail du Chiffre d''affaires'!H42*Immobilisations!$Q$8+(SUM('Compte de résultat sur 3 ans'!$B$5:$B$8)*Immobilisations!$Q$8)/12</f>
        <v>0</v>
      </c>
      <c r="J35" s="162">
        <f>'Détail du Chiffre d''affaires'!I42*Immobilisations!$Q$8+(SUM('Compte de résultat sur 3 ans'!$B$5:$B$8)*Immobilisations!$Q$8)/12</f>
        <v>0</v>
      </c>
      <c r="K35" s="162">
        <f>'Détail du Chiffre d''affaires'!J42*Immobilisations!$Q$8+(SUM('Compte de résultat sur 3 ans'!$B$5:$B$8)*Immobilisations!$Q$8)/12</f>
        <v>0</v>
      </c>
      <c r="L35" s="162">
        <f>'Détail du Chiffre d''affaires'!K42*Immobilisations!$Q$8+(SUM('Compte de résultat sur 3 ans'!$B$5:$B$8)*Immobilisations!$Q$8)/12</f>
        <v>0</v>
      </c>
      <c r="M35" s="162">
        <f>'Détail du Chiffre d''affaires'!L42*Immobilisations!$Q$8+(SUM('Compte de résultat sur 3 ans'!$B$5:$B$8)*Immobilisations!$Q$8)/12</f>
        <v>0</v>
      </c>
      <c r="N35" s="162">
        <f>'Détail du Chiffre d''affaires'!M42*Immobilisations!$Q$8+(SUM('Compte de résultat sur 3 ans'!$B$5:$B$8)*Immobilisations!$Q$8)/12</f>
        <v>0</v>
      </c>
      <c r="O35" s="162">
        <f>SUM(C35:N35)</f>
        <v>0</v>
      </c>
      <c r="P35" s="17"/>
      <c r="Q35" s="222"/>
      <c r="R35" s="9"/>
      <c r="S35" s="221"/>
      <c r="T35" s="17"/>
      <c r="U35" s="17"/>
      <c r="V35" s="17"/>
      <c r="W35" s="17"/>
      <c r="X35" s="17"/>
      <c r="Y35" s="17"/>
      <c r="Z35" s="17"/>
    </row>
    <row r="36" spans="2:19" s="17" customFormat="1" ht="11.25" customHeight="1">
      <c r="B36" s="160" t="s">
        <v>29</v>
      </c>
      <c r="C36" s="164">
        <f>('Compte de résultat sur 3 ans'!$B$18)*Immobilisations!$Q$9/12</f>
        <v>0</v>
      </c>
      <c r="D36" s="164">
        <f>('Compte de résultat sur 3 ans'!$B$18)*Immobilisations!$Q$9/12</f>
        <v>0</v>
      </c>
      <c r="E36" s="164">
        <f>('Compte de résultat sur 3 ans'!$B$18)*Immobilisations!$Q$9/12</f>
        <v>0</v>
      </c>
      <c r="F36" s="164">
        <f>('Compte de résultat sur 3 ans'!$B$18)*Immobilisations!$Q$9/12</f>
        <v>0</v>
      </c>
      <c r="G36" s="164">
        <f>('Compte de résultat sur 3 ans'!$B$18)*Immobilisations!$Q$9/12</f>
        <v>0</v>
      </c>
      <c r="H36" s="164">
        <f>('Compte de résultat sur 3 ans'!$B$18)*Immobilisations!$Q$9/12</f>
        <v>0</v>
      </c>
      <c r="I36" s="164">
        <f>('Compte de résultat sur 3 ans'!$B$18)*Immobilisations!$Q$9/12</f>
        <v>0</v>
      </c>
      <c r="J36" s="164">
        <f>('Compte de résultat sur 3 ans'!$B$18)*Immobilisations!$Q$9/12</f>
        <v>0</v>
      </c>
      <c r="K36" s="164">
        <f>('Compte de résultat sur 3 ans'!$B$18)*Immobilisations!$Q$9/12</f>
        <v>0</v>
      </c>
      <c r="L36" s="164">
        <f>('Compte de résultat sur 3 ans'!$B$18)*Immobilisations!$Q$9/12</f>
        <v>0</v>
      </c>
      <c r="M36" s="164">
        <f>('Compte de résultat sur 3 ans'!$B$18)*Immobilisations!$Q$9/12</f>
        <v>0</v>
      </c>
      <c r="N36" s="164">
        <f>('Compte de résultat sur 3 ans'!$B$18)*Immobilisations!$Q$9/12</f>
        <v>0</v>
      </c>
      <c r="O36" s="164">
        <f>SUM(C36:N36)</f>
        <v>0</v>
      </c>
      <c r="Q36" s="222" t="s">
        <v>189</v>
      </c>
      <c r="R36" s="9"/>
      <c r="S36" s="221"/>
    </row>
    <row r="37" spans="2:19" s="17" customFormat="1" ht="11.25" customHeight="1" thickBot="1">
      <c r="B37" s="144" t="s">
        <v>30</v>
      </c>
      <c r="C37" s="165">
        <f>('Compte de résultat sur 3 ans'!$B$27*Immobilisations!$Q$9)/12</f>
        <v>0</v>
      </c>
      <c r="D37" s="165">
        <f>('Compte de résultat sur 3 ans'!$B$27*Immobilisations!$Q$9)/12</f>
        <v>0</v>
      </c>
      <c r="E37" s="165">
        <f>('Compte de résultat sur 3 ans'!$B$27*Immobilisations!$Q$9)/12</f>
        <v>0</v>
      </c>
      <c r="F37" s="165">
        <f>('Compte de résultat sur 3 ans'!$B$27*Immobilisations!$Q$9)/12</f>
        <v>0</v>
      </c>
      <c r="G37" s="165">
        <f>('Compte de résultat sur 3 ans'!$B$27*Immobilisations!$Q$9)/12</f>
        <v>0</v>
      </c>
      <c r="H37" s="165">
        <f>('Compte de résultat sur 3 ans'!$B$27*Immobilisations!$Q$9)/12</f>
        <v>0</v>
      </c>
      <c r="I37" s="165">
        <f>('Compte de résultat sur 3 ans'!$B$27*Immobilisations!$Q$9)/12</f>
        <v>0</v>
      </c>
      <c r="J37" s="165">
        <f>('Compte de résultat sur 3 ans'!$B$27*Immobilisations!$Q$9)/12</f>
        <v>0</v>
      </c>
      <c r="K37" s="165">
        <f>('Compte de résultat sur 3 ans'!$B$27*Immobilisations!$Q$9)/12</f>
        <v>0</v>
      </c>
      <c r="L37" s="165">
        <f>('Compte de résultat sur 3 ans'!$B$27*Immobilisations!$Q$9)/12</f>
        <v>0</v>
      </c>
      <c r="M37" s="165">
        <f>('Compte de résultat sur 3 ans'!$B$27*Immobilisations!$Q$9)/12</f>
        <v>0</v>
      </c>
      <c r="N37" s="165">
        <f>('Compte de résultat sur 3 ans'!$B$27*Immobilisations!$Q$9)/12</f>
        <v>0</v>
      </c>
      <c r="O37" s="165">
        <f>SUM(C37:N37)</f>
        <v>0</v>
      </c>
      <c r="Q37" s="224">
        <f>SUM('EMPRUNT bancaire'!K27:K38)</f>
        <v>0</v>
      </c>
      <c r="R37" s="225"/>
      <c r="S37" s="226"/>
    </row>
    <row r="38" spans="2:15" s="17" customFormat="1" ht="11.25" customHeight="1">
      <c r="B38" s="160" t="s">
        <v>31</v>
      </c>
      <c r="C38" s="143">
        <f>'Compte de résultat sur 3 ans'!$B$33/12</f>
        <v>0</v>
      </c>
      <c r="D38" s="143">
        <f>'Compte de résultat sur 3 ans'!$B$33/12</f>
        <v>0</v>
      </c>
      <c r="E38" s="143">
        <f>'Compte de résultat sur 3 ans'!$B$33/12</f>
        <v>0</v>
      </c>
      <c r="F38" s="143">
        <f>'Compte de résultat sur 3 ans'!$B$33/12</f>
        <v>0</v>
      </c>
      <c r="G38" s="143">
        <f>'Compte de résultat sur 3 ans'!$B$33/12</f>
        <v>0</v>
      </c>
      <c r="H38" s="143">
        <f>'Compte de résultat sur 3 ans'!$B$33/12</f>
        <v>0</v>
      </c>
      <c r="I38" s="143">
        <f>'Compte de résultat sur 3 ans'!$B$33/12</f>
        <v>0</v>
      </c>
      <c r="J38" s="143">
        <f>'Compte de résultat sur 3 ans'!$B$33/12</f>
        <v>0</v>
      </c>
      <c r="K38" s="143">
        <f>'Compte de résultat sur 3 ans'!$B$33/12</f>
        <v>0</v>
      </c>
      <c r="L38" s="143">
        <f>'Compte de résultat sur 3 ans'!$B$33/12</f>
        <v>0</v>
      </c>
      <c r="M38" s="143">
        <f>'Compte de résultat sur 3 ans'!$B$33/12</f>
        <v>0</v>
      </c>
      <c r="N38" s="143">
        <f>'Compte de résultat sur 3 ans'!$B$33/12</f>
        <v>0</v>
      </c>
      <c r="O38" s="165">
        <f>SUM(C38:N38)</f>
        <v>0</v>
      </c>
    </row>
    <row r="39" spans="2:26" ht="11.25" customHeight="1">
      <c r="B39" s="166" t="s">
        <v>32</v>
      </c>
      <c r="C39" s="143">
        <f>'Compte de résultat sur 3 ans'!$B$38/12</f>
        <v>0</v>
      </c>
      <c r="D39" s="143">
        <f>'Compte de résultat sur 3 ans'!$B$38/12</f>
        <v>0</v>
      </c>
      <c r="E39" s="143">
        <f>'Compte de résultat sur 3 ans'!$B$38/12</f>
        <v>0</v>
      </c>
      <c r="F39" s="143">
        <f>'Compte de résultat sur 3 ans'!$B$38/12</f>
        <v>0</v>
      </c>
      <c r="G39" s="143">
        <f>'Compte de résultat sur 3 ans'!$B$38/12</f>
        <v>0</v>
      </c>
      <c r="H39" s="143">
        <f>'Compte de résultat sur 3 ans'!$B$38/12</f>
        <v>0</v>
      </c>
      <c r="I39" s="143">
        <f>'Compte de résultat sur 3 ans'!$B$38/12</f>
        <v>0</v>
      </c>
      <c r="J39" s="143">
        <f>'Compte de résultat sur 3 ans'!$B$38/12</f>
        <v>0</v>
      </c>
      <c r="K39" s="143">
        <f>'Compte de résultat sur 3 ans'!$B$38/12</f>
        <v>0</v>
      </c>
      <c r="L39" s="143">
        <f>'Compte de résultat sur 3 ans'!$B$38/12</f>
        <v>0</v>
      </c>
      <c r="M39" s="143">
        <f>'Compte de résultat sur 3 ans'!$B$38/12</f>
        <v>0</v>
      </c>
      <c r="N39" s="143">
        <f>'Compte de résultat sur 3 ans'!$B$38/12</f>
        <v>0</v>
      </c>
      <c r="O39" s="165">
        <f>SUM(C39:N39)</f>
        <v>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15" ht="11.25" customHeight="1">
      <c r="B40" s="14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2:15" ht="11.25" customHeight="1">
      <c r="B41" s="144" t="s">
        <v>53</v>
      </c>
      <c r="C41" s="143">
        <f>C58</f>
        <v>0</v>
      </c>
      <c r="D41" s="143">
        <f aca="true" t="shared" si="3" ref="D41:N41">D58</f>
        <v>0</v>
      </c>
      <c r="E41" s="143">
        <f t="shared" si="3"/>
        <v>0</v>
      </c>
      <c r="F41" s="143">
        <f t="shared" si="3"/>
        <v>0</v>
      </c>
      <c r="G41" s="143">
        <f t="shared" si="3"/>
        <v>0</v>
      </c>
      <c r="H41" s="143">
        <f t="shared" si="3"/>
        <v>0</v>
      </c>
      <c r="I41" s="143">
        <f t="shared" si="3"/>
        <v>0</v>
      </c>
      <c r="J41" s="143">
        <f t="shared" si="3"/>
        <v>0</v>
      </c>
      <c r="K41" s="143">
        <f t="shared" si="3"/>
        <v>0</v>
      </c>
      <c r="L41" s="143">
        <f t="shared" si="3"/>
        <v>0</v>
      </c>
      <c r="M41" s="143">
        <f t="shared" si="3"/>
        <v>0</v>
      </c>
      <c r="N41" s="143">
        <f t="shared" si="3"/>
        <v>0</v>
      </c>
      <c r="O41" s="143"/>
    </row>
    <row r="42" spans="2:15" ht="11.25" customHeight="1" thickBot="1">
      <c r="B42" s="144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9"/>
    </row>
    <row r="43" spans="2:15" ht="11.25" customHeight="1" thickBot="1">
      <c r="B43" s="167" t="s">
        <v>48</v>
      </c>
      <c r="C43" s="168">
        <f>SUM(C26:C41)</f>
        <v>0</v>
      </c>
      <c r="D43" s="168">
        <f aca="true" t="shared" si="4" ref="D43:N43">SUM(D26:D41)</f>
        <v>0</v>
      </c>
      <c r="E43" s="168">
        <f t="shared" si="4"/>
        <v>0</v>
      </c>
      <c r="F43" s="168">
        <f t="shared" si="4"/>
        <v>0</v>
      </c>
      <c r="G43" s="168">
        <f t="shared" si="4"/>
        <v>0</v>
      </c>
      <c r="H43" s="168">
        <f t="shared" si="4"/>
        <v>0</v>
      </c>
      <c r="I43" s="168">
        <f t="shared" si="4"/>
        <v>0</v>
      </c>
      <c r="J43" s="168">
        <f t="shared" si="4"/>
        <v>0</v>
      </c>
      <c r="K43" s="168">
        <f t="shared" si="4"/>
        <v>0</v>
      </c>
      <c r="L43" s="168">
        <f t="shared" si="4"/>
        <v>0</v>
      </c>
      <c r="M43" s="168">
        <f t="shared" si="4"/>
        <v>0</v>
      </c>
      <c r="N43" s="168">
        <f t="shared" si="4"/>
        <v>0</v>
      </c>
      <c r="O43" s="169">
        <f>SUM(C43:N43)</f>
        <v>0</v>
      </c>
    </row>
    <row r="44" spans="2:15" ht="11.25" customHeight="1" thickBot="1">
      <c r="B44" s="170" t="s">
        <v>142</v>
      </c>
      <c r="C44" s="171">
        <f>C22-C43</f>
        <v>0</v>
      </c>
      <c r="D44" s="171">
        <f>D22-D43</f>
        <v>0</v>
      </c>
      <c r="E44" s="171">
        <f aca="true" t="shared" si="5" ref="E44:N44">E22-E43</f>
        <v>0</v>
      </c>
      <c r="F44" s="171">
        <f t="shared" si="5"/>
        <v>0</v>
      </c>
      <c r="G44" s="171">
        <f t="shared" si="5"/>
        <v>0</v>
      </c>
      <c r="H44" s="171">
        <f t="shared" si="5"/>
        <v>0</v>
      </c>
      <c r="I44" s="171">
        <f t="shared" si="5"/>
        <v>0</v>
      </c>
      <c r="J44" s="171">
        <f t="shared" si="5"/>
        <v>0</v>
      </c>
      <c r="K44" s="171">
        <f t="shared" si="5"/>
        <v>0</v>
      </c>
      <c r="L44" s="171">
        <f t="shared" si="5"/>
        <v>0</v>
      </c>
      <c r="M44" s="171">
        <f t="shared" si="5"/>
        <v>0</v>
      </c>
      <c r="N44" s="171">
        <f t="shared" si="5"/>
        <v>0</v>
      </c>
      <c r="O44" s="172"/>
    </row>
    <row r="45" spans="2:15" ht="9" customHeight="1">
      <c r="B45" s="173" t="s">
        <v>143</v>
      </c>
      <c r="C45" s="174">
        <f aca="true" t="shared" si="6" ref="C45:N45">C5+C44</f>
        <v>0</v>
      </c>
      <c r="D45" s="174">
        <f t="shared" si="6"/>
        <v>0</v>
      </c>
      <c r="E45" s="174">
        <f t="shared" si="6"/>
        <v>0</v>
      </c>
      <c r="F45" s="174">
        <f t="shared" si="6"/>
        <v>0</v>
      </c>
      <c r="G45" s="174">
        <f t="shared" si="6"/>
        <v>0</v>
      </c>
      <c r="H45" s="174">
        <f t="shared" si="6"/>
        <v>0</v>
      </c>
      <c r="I45" s="174">
        <f t="shared" si="6"/>
        <v>0</v>
      </c>
      <c r="J45" s="174">
        <f t="shared" si="6"/>
        <v>0</v>
      </c>
      <c r="K45" s="174">
        <f t="shared" si="6"/>
        <v>0</v>
      </c>
      <c r="L45" s="174">
        <f t="shared" si="6"/>
        <v>0</v>
      </c>
      <c r="M45" s="174">
        <f t="shared" si="6"/>
        <v>0</v>
      </c>
      <c r="N45" s="174">
        <f t="shared" si="6"/>
        <v>0</v>
      </c>
      <c r="O45" s="165"/>
    </row>
    <row r="49" spans="2:15" ht="12.75">
      <c r="B49" s="5"/>
      <c r="C49" s="5" t="s">
        <v>36</v>
      </c>
      <c r="D49" s="5" t="s">
        <v>37</v>
      </c>
      <c r="E49" s="5" t="s">
        <v>38</v>
      </c>
      <c r="F49" s="5" t="s">
        <v>39</v>
      </c>
      <c r="G49" s="5" t="s">
        <v>40</v>
      </c>
      <c r="H49" s="5" t="s">
        <v>41</v>
      </c>
      <c r="I49" s="5" t="s">
        <v>42</v>
      </c>
      <c r="J49" s="5" t="s">
        <v>43</v>
      </c>
      <c r="K49" s="5" t="s">
        <v>44</v>
      </c>
      <c r="L49" s="5" t="s">
        <v>45</v>
      </c>
      <c r="M49" s="5" t="s">
        <v>46</v>
      </c>
      <c r="N49" s="5" t="s">
        <v>47</v>
      </c>
      <c r="O49" s="5" t="s">
        <v>146</v>
      </c>
    </row>
    <row r="50" spans="2:15" ht="12.75">
      <c r="B50" s="5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"/>
    </row>
    <row r="51" spans="2:15" ht="12.75">
      <c r="B51" s="49" t="s">
        <v>191</v>
      </c>
      <c r="C51" s="50">
        <f>C21-'Détail du Chiffre d''affaires'!B21</f>
        <v>0</v>
      </c>
      <c r="D51" s="50">
        <f>D21-'Détail du Chiffre d''affaires'!C21</f>
        <v>0</v>
      </c>
      <c r="E51" s="50">
        <f>E21-'Détail du Chiffre d''affaires'!D21</f>
        <v>0</v>
      </c>
      <c r="F51" s="50">
        <f>F21-'Détail du Chiffre d''affaires'!E21</f>
        <v>0</v>
      </c>
      <c r="G51" s="50">
        <f>G21-'Détail du Chiffre d''affaires'!F21</f>
        <v>0</v>
      </c>
      <c r="H51" s="50">
        <f>H21-'Détail du Chiffre d''affaires'!G21</f>
        <v>0</v>
      </c>
      <c r="I51" s="50">
        <f>I21-'Détail du Chiffre d''affaires'!H21</f>
        <v>0</v>
      </c>
      <c r="J51" s="50">
        <f>J21-'Détail du Chiffre d''affaires'!I21</f>
        <v>0</v>
      </c>
      <c r="K51" s="50">
        <f>K21-'Détail du Chiffre d''affaires'!J21</f>
        <v>0</v>
      </c>
      <c r="L51" s="50">
        <f>L21-'Détail du Chiffre d''affaires'!K21</f>
        <v>0</v>
      </c>
      <c r="M51" s="50">
        <f>M21-'Détail du Chiffre d''affaires'!L21</f>
        <v>0</v>
      </c>
      <c r="N51" s="50">
        <f>N21-'Détail du Chiffre d''affaires'!M21</f>
        <v>0</v>
      </c>
      <c r="O51" s="5"/>
    </row>
    <row r="52" spans="2:15" ht="12.75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"/>
    </row>
    <row r="53" spans="2:15" ht="12.75">
      <c r="B53" s="49" t="s">
        <v>147</v>
      </c>
      <c r="C53" s="50">
        <f>C35-(SUM('Compte de résultat sur 3 ans'!$B$5:$B$8)/12+'Détail du Chiffre d''affaires'!B42)</f>
        <v>0</v>
      </c>
      <c r="D53" s="50">
        <f>D35-(SUM('Compte de résultat sur 3 ans'!$B$5:$B$8)/12+'Détail du Chiffre d''affaires'!C42)</f>
        <v>0</v>
      </c>
      <c r="E53" s="50">
        <f>E35-(SUM('Compte de résultat sur 3 ans'!$B$5:$B$8)/12+'Détail du Chiffre d''affaires'!D42)</f>
        <v>0</v>
      </c>
      <c r="F53" s="50">
        <f>F35-(SUM('Compte de résultat sur 3 ans'!$B$5:$B$8)/12+'Détail du Chiffre d''affaires'!E42)</f>
        <v>0</v>
      </c>
      <c r="G53" s="50">
        <f>G35-(SUM('Compte de résultat sur 3 ans'!$B$5:$B$8)/12+'Détail du Chiffre d''affaires'!F42)</f>
        <v>0</v>
      </c>
      <c r="H53" s="50">
        <f>H35-(SUM('Compte de résultat sur 3 ans'!$B$5:$B$8)/12+'Détail du Chiffre d''affaires'!G42)</f>
        <v>0</v>
      </c>
      <c r="I53" s="50">
        <f>I35-(SUM('Compte de résultat sur 3 ans'!$B$5:$B$8)/12+'Détail du Chiffre d''affaires'!H42)</f>
        <v>0</v>
      </c>
      <c r="J53" s="50">
        <f>J35-(SUM('Compte de résultat sur 3 ans'!$B$5:$B$8)/12+'Détail du Chiffre d''affaires'!I42)</f>
        <v>0</v>
      </c>
      <c r="K53" s="50">
        <f>K35-(SUM('Compte de résultat sur 3 ans'!$B$5:$B$8)/12+'Détail du Chiffre d''affaires'!J42)</f>
        <v>0</v>
      </c>
      <c r="L53" s="50">
        <f>L35-(SUM('Compte de résultat sur 3 ans'!$B$5:$B$8)/12+'Détail du Chiffre d''affaires'!K42)</f>
        <v>0</v>
      </c>
      <c r="M53" s="50">
        <f>M35-(SUM('Compte de résultat sur 3 ans'!$B$5:$B$8)/12+'Détail du Chiffre d''affaires'!L42)</f>
        <v>0</v>
      </c>
      <c r="N53" s="50">
        <f>N35-(SUM('Compte de résultat sur 3 ans'!$B$5:$B$8)/12+'Détail du Chiffre d''affaires'!M42)</f>
        <v>0</v>
      </c>
      <c r="O53" s="5"/>
    </row>
    <row r="54" spans="2:15" ht="12.75">
      <c r="B54" s="49" t="s">
        <v>150</v>
      </c>
      <c r="C54" s="50">
        <f>C36-C36/Immobilisations!$Q$9</f>
        <v>0</v>
      </c>
      <c r="D54" s="50">
        <f>D36-D36/Immobilisations!$Q$9</f>
        <v>0</v>
      </c>
      <c r="E54" s="50">
        <f>E36-E36/Immobilisations!$Q$9</f>
        <v>0</v>
      </c>
      <c r="F54" s="50">
        <f>F36-F36/Immobilisations!$Q$9</f>
        <v>0</v>
      </c>
      <c r="G54" s="50">
        <f>G36-G36/Immobilisations!$Q$9</f>
        <v>0</v>
      </c>
      <c r="H54" s="50">
        <f>H36-H36/Immobilisations!$Q$9</f>
        <v>0</v>
      </c>
      <c r="I54" s="50">
        <f>I36-I36/Immobilisations!$Q$9</f>
        <v>0</v>
      </c>
      <c r="J54" s="50">
        <f>J36-J36/Immobilisations!$Q$9</f>
        <v>0</v>
      </c>
      <c r="K54" s="50">
        <f>K36-K36/Immobilisations!$Q$9</f>
        <v>0</v>
      </c>
      <c r="L54" s="50">
        <f>L36-L36/Immobilisations!$Q$9</f>
        <v>0</v>
      </c>
      <c r="M54" s="50">
        <f>M36-M36/Immobilisations!$Q$9</f>
        <v>0</v>
      </c>
      <c r="N54" s="50">
        <f>N36-N36/Immobilisations!$Q$9</f>
        <v>0</v>
      </c>
      <c r="O54" s="5"/>
    </row>
    <row r="55" spans="2:15" ht="12.75">
      <c r="B55" s="49" t="s">
        <v>154</v>
      </c>
      <c r="C55" s="50">
        <f>C37-C37/Immobilisations!$Q$9</f>
        <v>0</v>
      </c>
      <c r="D55" s="50">
        <f>D37-D37/Immobilisations!$Q$9</f>
        <v>0</v>
      </c>
      <c r="E55" s="50">
        <f>E37-E37/Immobilisations!$Q$9</f>
        <v>0</v>
      </c>
      <c r="F55" s="50">
        <f>F37-F37/Immobilisations!$Q$9</f>
        <v>0</v>
      </c>
      <c r="G55" s="50">
        <f>G37-G37/Immobilisations!$Q$9</f>
        <v>0</v>
      </c>
      <c r="H55" s="50">
        <f>H37-H37/Immobilisations!$Q$9</f>
        <v>0</v>
      </c>
      <c r="I55" s="50">
        <f>I37-I37/Immobilisations!$Q$9</f>
        <v>0</v>
      </c>
      <c r="J55" s="50">
        <f>J37-J37/Immobilisations!$Q$9</f>
        <v>0</v>
      </c>
      <c r="K55" s="50">
        <f>K37-K37/Immobilisations!$Q$9</f>
        <v>0</v>
      </c>
      <c r="L55" s="50">
        <f>L37-L37/Immobilisations!$Q$9</f>
        <v>0</v>
      </c>
      <c r="M55" s="50">
        <f>M37-M37/Immobilisations!$Q$9</f>
        <v>0</v>
      </c>
      <c r="N55" s="50">
        <f>N37-N37/Immobilisations!$Q$9</f>
        <v>0</v>
      </c>
      <c r="O55" s="5"/>
    </row>
    <row r="56" spans="2:15" ht="12.75">
      <c r="B56" s="49" t="s">
        <v>148</v>
      </c>
      <c r="C56" s="50"/>
      <c r="D56" s="50"/>
      <c r="E56" s="50"/>
      <c r="F56" s="50"/>
      <c r="G56" s="50"/>
      <c r="H56" s="50">
        <f>'Plan de financement démarrage'!B30</f>
        <v>0</v>
      </c>
      <c r="I56" s="50"/>
      <c r="J56" s="50"/>
      <c r="K56" s="50"/>
      <c r="L56" s="50"/>
      <c r="M56" s="50"/>
      <c r="N56" s="50"/>
      <c r="O56" s="5"/>
    </row>
    <row r="57" spans="2:15" ht="12.75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"/>
    </row>
    <row r="58" spans="2:15" ht="12.75">
      <c r="B58" s="51" t="s">
        <v>149</v>
      </c>
      <c r="C58" s="50">
        <f aca="true" t="shared" si="7" ref="C58:N58">C51-C53-C54-C55-C56</f>
        <v>0</v>
      </c>
      <c r="D58" s="50">
        <f t="shared" si="7"/>
        <v>0</v>
      </c>
      <c r="E58" s="50">
        <f t="shared" si="7"/>
        <v>0</v>
      </c>
      <c r="F58" s="50">
        <f t="shared" si="7"/>
        <v>0</v>
      </c>
      <c r="G58" s="50">
        <f t="shared" si="7"/>
        <v>0</v>
      </c>
      <c r="H58" s="50">
        <f t="shared" si="7"/>
        <v>0</v>
      </c>
      <c r="I58" s="50">
        <f t="shared" si="7"/>
        <v>0</v>
      </c>
      <c r="J58" s="50">
        <f t="shared" si="7"/>
        <v>0</v>
      </c>
      <c r="K58" s="50">
        <f t="shared" si="7"/>
        <v>0</v>
      </c>
      <c r="L58" s="50">
        <f t="shared" si="7"/>
        <v>0</v>
      </c>
      <c r="M58" s="50">
        <f t="shared" si="7"/>
        <v>0</v>
      </c>
      <c r="N58" s="50">
        <f t="shared" si="7"/>
        <v>0</v>
      </c>
      <c r="O58" s="5"/>
    </row>
  </sheetData>
  <sheetProtection/>
  <mergeCells count="3">
    <mergeCell ref="C6:O6"/>
    <mergeCell ref="C24:O24"/>
    <mergeCell ref="A1:O1"/>
  </mergeCells>
  <conditionalFormatting sqref="C45">
    <cfRule type="cellIs" priority="2" dxfId="0" operator="lessThan" stopIfTrue="1">
      <formula>0</formula>
    </cfRule>
  </conditionalFormatting>
  <conditionalFormatting sqref="C45:N45">
    <cfRule type="cellIs" priority="1" dxfId="0" operator="lessThan" stopIfTrue="1">
      <formula>0</formula>
    </cfRule>
  </conditionalFormatting>
  <printOptions/>
  <pageMargins left="0.72" right="0.47" top="0.31" bottom="0.24" header="0.37" footer="0.2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20.7109375" style="175" customWidth="1"/>
    <col min="2" max="2" width="10.421875" style="175" customWidth="1"/>
    <col min="3" max="3" width="17.140625" style="175" bestFit="1" customWidth="1"/>
    <col min="4" max="4" width="15.28125" style="175" bestFit="1" customWidth="1"/>
    <col min="5" max="5" width="10.140625" style="175" customWidth="1"/>
    <col min="6" max="6" width="17.8515625" style="175" bestFit="1" customWidth="1"/>
    <col min="7" max="7" width="2.8515625" style="175" customWidth="1"/>
    <col min="8" max="8" width="5.140625" style="213" bestFit="1" customWidth="1"/>
    <col min="9" max="9" width="17.140625" style="180" bestFit="1" customWidth="1"/>
    <col min="10" max="10" width="14.421875" style="180" bestFit="1" customWidth="1"/>
    <col min="11" max="11" width="8.140625" style="180" customWidth="1"/>
    <col min="12" max="12" width="9.8515625" style="180" bestFit="1" customWidth="1"/>
    <col min="13" max="13" width="17.140625" style="180" bestFit="1" customWidth="1"/>
    <col min="14" max="14" width="10.7109375" style="180" customWidth="1"/>
    <col min="15" max="16384" width="11.421875" style="175" customWidth="1"/>
  </cols>
  <sheetData>
    <row r="1" spans="1:13" ht="12.75">
      <c r="A1" s="348" t="s">
        <v>165</v>
      </c>
      <c r="B1" s="349"/>
      <c r="C1" s="349"/>
      <c r="D1" s="349"/>
      <c r="E1" s="349"/>
      <c r="F1" s="350"/>
      <c r="H1" s="176" t="s">
        <v>166</v>
      </c>
      <c r="I1" s="177" t="s">
        <v>167</v>
      </c>
      <c r="J1" s="178" t="s">
        <v>168</v>
      </c>
      <c r="K1" s="178" t="s">
        <v>169</v>
      </c>
      <c r="L1" s="179" t="s">
        <v>170</v>
      </c>
      <c r="M1" s="178" t="s">
        <v>167</v>
      </c>
    </row>
    <row r="2" spans="4:13" ht="12.75">
      <c r="D2" s="181"/>
      <c r="H2" s="182"/>
      <c r="I2" s="183" t="s">
        <v>171</v>
      </c>
      <c r="J2" s="184"/>
      <c r="K2" s="184"/>
      <c r="L2" s="185" t="s">
        <v>172</v>
      </c>
      <c r="M2" s="184" t="s">
        <v>173</v>
      </c>
    </row>
    <row r="3" spans="1:13" ht="12.75">
      <c r="A3" s="186" t="s">
        <v>174</v>
      </c>
      <c r="B3" s="187">
        <f>'Plan de financement démarrage'!D25</f>
        <v>0</v>
      </c>
      <c r="C3" s="188"/>
      <c r="D3" s="214"/>
      <c r="H3" s="189">
        <v>1</v>
      </c>
      <c r="I3" s="190">
        <f>$B$3</f>
        <v>0</v>
      </c>
      <c r="J3" s="190">
        <f aca="true" t="shared" si="0" ref="J3:J66">IF(K3=0,0,L3-K3)</f>
        <v>0</v>
      </c>
      <c r="K3" s="190">
        <f aca="true" t="shared" si="1" ref="K3:K66">IF(AND(H3&gt;$B$7,H3&lt;=$B$9),ROUND((($B$5+$B$6)/12)*I3,3),0)</f>
        <v>0</v>
      </c>
      <c r="L3" s="190">
        <f aca="true" t="shared" si="2" ref="L3:L66">IF(AND(H3&gt;$B$7,H3&lt;=$B$9),$B$11,0)</f>
        <v>0</v>
      </c>
      <c r="M3" s="191">
        <f aca="true" t="shared" si="3" ref="M3:M66">I3-J3</f>
        <v>0</v>
      </c>
    </row>
    <row r="4" spans="1:13" ht="12.75">
      <c r="A4" s="186" t="s">
        <v>175</v>
      </c>
      <c r="B4" s="216">
        <v>5</v>
      </c>
      <c r="H4" s="189">
        <f aca="true" t="shared" si="4" ref="H4:H67">1+H3</f>
        <v>2</v>
      </c>
      <c r="I4" s="190">
        <f aca="true" t="shared" si="5" ref="I4:I67">IF(H4&gt;$B$9,0,M3)</f>
        <v>0</v>
      </c>
      <c r="J4" s="190">
        <f t="shared" si="0"/>
        <v>0</v>
      </c>
      <c r="K4" s="190">
        <f t="shared" si="1"/>
        <v>0</v>
      </c>
      <c r="L4" s="190">
        <f t="shared" si="2"/>
        <v>0</v>
      </c>
      <c r="M4" s="190">
        <f t="shared" si="3"/>
        <v>0</v>
      </c>
    </row>
    <row r="5" spans="1:13" ht="12.75">
      <c r="A5" s="186" t="s">
        <v>58</v>
      </c>
      <c r="B5" s="215">
        <v>0.02</v>
      </c>
      <c r="C5" s="193"/>
      <c r="H5" s="189">
        <f t="shared" si="4"/>
        <v>3</v>
      </c>
      <c r="I5" s="190">
        <f t="shared" si="5"/>
        <v>0</v>
      </c>
      <c r="J5" s="190">
        <f t="shared" si="0"/>
        <v>0</v>
      </c>
      <c r="K5" s="190">
        <f t="shared" si="1"/>
        <v>0</v>
      </c>
      <c r="L5" s="190">
        <f t="shared" si="2"/>
        <v>0</v>
      </c>
      <c r="M5" s="190">
        <f t="shared" si="3"/>
        <v>0</v>
      </c>
    </row>
    <row r="6" spans="1:13" ht="12.75">
      <c r="A6" s="194" t="s">
        <v>176</v>
      </c>
      <c r="B6" s="215">
        <v>0.005</v>
      </c>
      <c r="C6" s="193"/>
      <c r="H6" s="189">
        <f t="shared" si="4"/>
        <v>4</v>
      </c>
      <c r="I6" s="190">
        <f t="shared" si="5"/>
        <v>0</v>
      </c>
      <c r="J6" s="190">
        <f t="shared" si="0"/>
        <v>0</v>
      </c>
      <c r="K6" s="190">
        <f t="shared" si="1"/>
        <v>0</v>
      </c>
      <c r="L6" s="190">
        <f t="shared" si="2"/>
        <v>0</v>
      </c>
      <c r="M6" s="190">
        <f t="shared" si="3"/>
        <v>0</v>
      </c>
    </row>
    <row r="7" spans="1:13" ht="12.75">
      <c r="A7" s="195" t="s">
        <v>177</v>
      </c>
      <c r="B7" s="196">
        <v>0</v>
      </c>
      <c r="H7" s="189">
        <f t="shared" si="4"/>
        <v>5</v>
      </c>
      <c r="I7" s="190">
        <f t="shared" si="5"/>
        <v>0</v>
      </c>
      <c r="J7" s="190">
        <f t="shared" si="0"/>
        <v>0</v>
      </c>
      <c r="K7" s="190">
        <f t="shared" si="1"/>
        <v>0</v>
      </c>
      <c r="L7" s="190">
        <f t="shared" si="2"/>
        <v>0</v>
      </c>
      <c r="M7" s="190">
        <f t="shared" si="3"/>
        <v>0</v>
      </c>
    </row>
    <row r="8" spans="1:13" ht="12.75">
      <c r="A8" s="197" t="s">
        <v>178</v>
      </c>
      <c r="B8" s="196">
        <f>B4*12</f>
        <v>60</v>
      </c>
      <c r="C8" s="180"/>
      <c r="H8" s="189">
        <f t="shared" si="4"/>
        <v>6</v>
      </c>
      <c r="I8" s="190">
        <f t="shared" si="5"/>
        <v>0</v>
      </c>
      <c r="J8" s="190">
        <f t="shared" si="0"/>
        <v>0</v>
      </c>
      <c r="K8" s="190">
        <f t="shared" si="1"/>
        <v>0</v>
      </c>
      <c r="L8" s="190">
        <f t="shared" si="2"/>
        <v>0</v>
      </c>
      <c r="M8" s="190">
        <f t="shared" si="3"/>
        <v>0</v>
      </c>
    </row>
    <row r="9" spans="1:13" ht="12.75">
      <c r="A9" s="197" t="s">
        <v>179</v>
      </c>
      <c r="B9" s="196">
        <f>B8+B7</f>
        <v>60</v>
      </c>
      <c r="C9" s="180"/>
      <c r="D9" s="198"/>
      <c r="E9" s="199"/>
      <c r="H9" s="189">
        <f t="shared" si="4"/>
        <v>7</v>
      </c>
      <c r="I9" s="190">
        <f t="shared" si="5"/>
        <v>0</v>
      </c>
      <c r="J9" s="190">
        <f t="shared" si="0"/>
        <v>0</v>
      </c>
      <c r="K9" s="190">
        <f t="shared" si="1"/>
        <v>0</v>
      </c>
      <c r="L9" s="190">
        <f t="shared" si="2"/>
        <v>0</v>
      </c>
      <c r="M9" s="190">
        <f t="shared" si="3"/>
        <v>0</v>
      </c>
    </row>
    <row r="10" spans="1:13" ht="12.75">
      <c r="A10" s="197" t="s">
        <v>180</v>
      </c>
      <c r="B10" s="200">
        <f>B11*12</f>
        <v>0</v>
      </c>
      <c r="C10" s="199"/>
      <c r="E10" s="199"/>
      <c r="H10" s="189">
        <f t="shared" si="4"/>
        <v>8</v>
      </c>
      <c r="I10" s="190">
        <f t="shared" si="5"/>
        <v>0</v>
      </c>
      <c r="J10" s="190">
        <f t="shared" si="0"/>
        <v>0</v>
      </c>
      <c r="K10" s="190">
        <f t="shared" si="1"/>
        <v>0</v>
      </c>
      <c r="L10" s="190">
        <f t="shared" si="2"/>
        <v>0</v>
      </c>
      <c r="M10" s="190">
        <f t="shared" si="3"/>
        <v>0</v>
      </c>
    </row>
    <row r="11" spans="1:13" ht="12.75">
      <c r="A11" s="197" t="s">
        <v>181</v>
      </c>
      <c r="B11" s="200">
        <f>PMT(($B$5+$B$6)/12,$B$8,-$B$3)</f>
        <v>0</v>
      </c>
      <c r="C11" s="199"/>
      <c r="E11" s="199"/>
      <c r="H11" s="189">
        <f t="shared" si="4"/>
        <v>9</v>
      </c>
      <c r="I11" s="190">
        <f t="shared" si="5"/>
        <v>0</v>
      </c>
      <c r="J11" s="190">
        <f t="shared" si="0"/>
        <v>0</v>
      </c>
      <c r="K11" s="190">
        <f t="shared" si="1"/>
        <v>0</v>
      </c>
      <c r="L11" s="190">
        <f t="shared" si="2"/>
        <v>0</v>
      </c>
      <c r="M11" s="190">
        <f t="shared" si="3"/>
        <v>0</v>
      </c>
    </row>
    <row r="12" spans="1:13" ht="12.75">
      <c r="A12" s="195" t="s">
        <v>182</v>
      </c>
      <c r="B12" s="200">
        <f>(B10*B4)-B3</f>
        <v>0</v>
      </c>
      <c r="C12" s="201"/>
      <c r="D12" s="201"/>
      <c r="E12" s="201"/>
      <c r="F12" s="201"/>
      <c r="H12" s="189">
        <f t="shared" si="4"/>
        <v>10</v>
      </c>
      <c r="I12" s="190">
        <f t="shared" si="5"/>
        <v>0</v>
      </c>
      <c r="J12" s="190">
        <f t="shared" si="0"/>
        <v>0</v>
      </c>
      <c r="K12" s="190">
        <f t="shared" si="1"/>
        <v>0</v>
      </c>
      <c r="L12" s="190">
        <f t="shared" si="2"/>
        <v>0</v>
      </c>
      <c r="M12" s="190">
        <f t="shared" si="3"/>
        <v>0</v>
      </c>
    </row>
    <row r="13" spans="2:13" ht="12.75">
      <c r="B13" s="201"/>
      <c r="C13" s="201"/>
      <c r="D13" s="201"/>
      <c r="E13" s="201"/>
      <c r="F13" s="201"/>
      <c r="H13" s="189">
        <f t="shared" si="4"/>
        <v>11</v>
      </c>
      <c r="I13" s="190">
        <f t="shared" si="5"/>
        <v>0</v>
      </c>
      <c r="J13" s="190">
        <f t="shared" si="0"/>
        <v>0</v>
      </c>
      <c r="K13" s="190">
        <f t="shared" si="1"/>
        <v>0</v>
      </c>
      <c r="L13" s="190">
        <f t="shared" si="2"/>
        <v>0</v>
      </c>
      <c r="M13" s="190">
        <f t="shared" si="3"/>
        <v>0</v>
      </c>
    </row>
    <row r="14" spans="2:13" ht="12.75">
      <c r="B14" s="202" t="s">
        <v>183</v>
      </c>
      <c r="C14" s="202" t="s">
        <v>167</v>
      </c>
      <c r="D14" s="202" t="s">
        <v>184</v>
      </c>
      <c r="E14" s="203" t="s">
        <v>169</v>
      </c>
      <c r="F14" s="202" t="s">
        <v>185</v>
      </c>
      <c r="H14" s="189">
        <f t="shared" si="4"/>
        <v>12</v>
      </c>
      <c r="I14" s="190">
        <f t="shared" si="5"/>
        <v>0</v>
      </c>
      <c r="J14" s="190">
        <f t="shared" si="0"/>
        <v>0</v>
      </c>
      <c r="K14" s="190">
        <f t="shared" si="1"/>
        <v>0</v>
      </c>
      <c r="L14" s="190">
        <f t="shared" si="2"/>
        <v>0</v>
      </c>
      <c r="M14" s="190">
        <f t="shared" si="3"/>
        <v>0</v>
      </c>
    </row>
    <row r="15" spans="2:13" ht="12.75">
      <c r="B15" s="204">
        <v>0</v>
      </c>
      <c r="C15" s="205">
        <f>B3</f>
        <v>0</v>
      </c>
      <c r="D15" s="206">
        <v>0</v>
      </c>
      <c r="E15" s="206">
        <v>0</v>
      </c>
      <c r="F15" s="206">
        <v>0</v>
      </c>
      <c r="H15" s="189">
        <f t="shared" si="4"/>
        <v>13</v>
      </c>
      <c r="I15" s="190">
        <f t="shared" si="5"/>
        <v>0</v>
      </c>
      <c r="J15" s="190">
        <f t="shared" si="0"/>
        <v>0</v>
      </c>
      <c r="K15" s="190">
        <f t="shared" si="1"/>
        <v>0</v>
      </c>
      <c r="L15" s="190">
        <f t="shared" si="2"/>
        <v>0</v>
      </c>
      <c r="M15" s="190">
        <f t="shared" si="3"/>
        <v>0</v>
      </c>
    </row>
    <row r="16" spans="2:13" ht="12.75">
      <c r="B16" s="204">
        <f>1+B15</f>
        <v>1</v>
      </c>
      <c r="C16" s="205">
        <f>I15</f>
        <v>0</v>
      </c>
      <c r="D16" s="206">
        <f>SUM(J3:J14)</f>
        <v>0</v>
      </c>
      <c r="E16" s="206">
        <f>SUM(K3:K14)</f>
        <v>0</v>
      </c>
      <c r="F16" s="206">
        <f>SUM(L3:L14)</f>
        <v>0</v>
      </c>
      <c r="H16" s="189">
        <f t="shared" si="4"/>
        <v>14</v>
      </c>
      <c r="I16" s="190">
        <f t="shared" si="5"/>
        <v>0</v>
      </c>
      <c r="J16" s="190">
        <f t="shared" si="0"/>
        <v>0</v>
      </c>
      <c r="K16" s="190">
        <f t="shared" si="1"/>
        <v>0</v>
      </c>
      <c r="L16" s="190">
        <f t="shared" si="2"/>
        <v>0</v>
      </c>
      <c r="M16" s="190">
        <f t="shared" si="3"/>
        <v>0</v>
      </c>
    </row>
    <row r="17" spans="2:14" ht="12.75">
      <c r="B17" s="204">
        <f>1+B16</f>
        <v>2</v>
      </c>
      <c r="C17" s="205">
        <f>I27</f>
        <v>0</v>
      </c>
      <c r="D17" s="206">
        <f>SUM(J15:J26)</f>
        <v>0</v>
      </c>
      <c r="E17" s="206">
        <f>SUM(K15:K26)</f>
        <v>0</v>
      </c>
      <c r="F17" s="206">
        <f>SUM(L15:L26)</f>
        <v>0</v>
      </c>
      <c r="H17" s="189">
        <f t="shared" si="4"/>
        <v>15</v>
      </c>
      <c r="I17" s="190">
        <f t="shared" si="5"/>
        <v>0</v>
      </c>
      <c r="J17" s="190">
        <f t="shared" si="0"/>
        <v>0</v>
      </c>
      <c r="K17" s="190">
        <f t="shared" si="1"/>
        <v>0</v>
      </c>
      <c r="L17" s="190">
        <f t="shared" si="2"/>
        <v>0</v>
      </c>
      <c r="M17" s="190">
        <f t="shared" si="3"/>
        <v>0</v>
      </c>
      <c r="N17" s="207"/>
    </row>
    <row r="18" spans="2:13" ht="12.75">
      <c r="B18" s="204">
        <f>1+B17</f>
        <v>3</v>
      </c>
      <c r="C18" s="205">
        <f>I39</f>
        <v>0</v>
      </c>
      <c r="D18" s="206">
        <f>SUM(J27:J38)</f>
        <v>0</v>
      </c>
      <c r="E18" s="206">
        <f>SUM(K27:K38)</f>
        <v>0</v>
      </c>
      <c r="F18" s="206">
        <f>SUM(L27:L38)</f>
        <v>0</v>
      </c>
      <c r="H18" s="189">
        <f t="shared" si="4"/>
        <v>16</v>
      </c>
      <c r="I18" s="190">
        <f t="shared" si="5"/>
        <v>0</v>
      </c>
      <c r="J18" s="190">
        <f t="shared" si="0"/>
        <v>0</v>
      </c>
      <c r="K18" s="190">
        <f t="shared" si="1"/>
        <v>0</v>
      </c>
      <c r="L18" s="190">
        <f t="shared" si="2"/>
        <v>0</v>
      </c>
      <c r="M18" s="190">
        <f t="shared" si="3"/>
        <v>0</v>
      </c>
    </row>
    <row r="19" spans="2:13" ht="12.75">
      <c r="B19" s="204">
        <f>1+B18</f>
        <v>4</v>
      </c>
      <c r="C19" s="205">
        <f>I51</f>
        <v>0</v>
      </c>
      <c r="D19" s="206">
        <f>SUM(J39:J50)</f>
        <v>0</v>
      </c>
      <c r="E19" s="206">
        <f>SUM(K39:K50)</f>
        <v>0</v>
      </c>
      <c r="F19" s="206">
        <f>SUM(L39:L50)</f>
        <v>0</v>
      </c>
      <c r="H19" s="189">
        <f t="shared" si="4"/>
        <v>17</v>
      </c>
      <c r="I19" s="190">
        <f t="shared" si="5"/>
        <v>0</v>
      </c>
      <c r="J19" s="190">
        <f t="shared" si="0"/>
        <v>0</v>
      </c>
      <c r="K19" s="190">
        <f t="shared" si="1"/>
        <v>0</v>
      </c>
      <c r="L19" s="190">
        <f t="shared" si="2"/>
        <v>0</v>
      </c>
      <c r="M19" s="190">
        <f t="shared" si="3"/>
        <v>0</v>
      </c>
    </row>
    <row r="20" spans="2:13" ht="12.75">
      <c r="B20" s="204">
        <f>1+B19</f>
        <v>5</v>
      </c>
      <c r="C20" s="205">
        <f>I63</f>
        <v>0</v>
      </c>
      <c r="D20" s="206">
        <f>SUM(J51:J62)</f>
        <v>0</v>
      </c>
      <c r="E20" s="206">
        <f>SUM(K51:K62)</f>
        <v>0</v>
      </c>
      <c r="F20" s="206">
        <f>SUM(L51:L62)</f>
        <v>0</v>
      </c>
      <c r="H20" s="189">
        <f t="shared" si="4"/>
        <v>18</v>
      </c>
      <c r="I20" s="190">
        <f t="shared" si="5"/>
        <v>0</v>
      </c>
      <c r="J20" s="190">
        <f t="shared" si="0"/>
        <v>0</v>
      </c>
      <c r="K20" s="190">
        <f t="shared" si="1"/>
        <v>0</v>
      </c>
      <c r="L20" s="190">
        <f t="shared" si="2"/>
        <v>0</v>
      </c>
      <c r="M20" s="190">
        <f t="shared" si="3"/>
        <v>0</v>
      </c>
    </row>
    <row r="21" spans="2:13" ht="12.75">
      <c r="B21" s="204">
        <v>6</v>
      </c>
      <c r="C21" s="205">
        <f>I75</f>
        <v>0</v>
      </c>
      <c r="D21" s="206">
        <f>SUM(J63:J74)</f>
        <v>0</v>
      </c>
      <c r="E21" s="206">
        <f>SUM(K63:K74)</f>
        <v>0</v>
      </c>
      <c r="F21" s="206">
        <f>SUM(L63:L74)</f>
        <v>0</v>
      </c>
      <c r="H21" s="189">
        <f t="shared" si="4"/>
        <v>19</v>
      </c>
      <c r="I21" s="190">
        <f t="shared" si="5"/>
        <v>0</v>
      </c>
      <c r="J21" s="190">
        <f t="shared" si="0"/>
        <v>0</v>
      </c>
      <c r="K21" s="190">
        <f t="shared" si="1"/>
        <v>0</v>
      </c>
      <c r="L21" s="190">
        <f t="shared" si="2"/>
        <v>0</v>
      </c>
      <c r="M21" s="190">
        <f t="shared" si="3"/>
        <v>0</v>
      </c>
    </row>
    <row r="22" spans="2:13" ht="12.75">
      <c r="B22" s="204">
        <v>7</v>
      </c>
      <c r="C22" s="205">
        <f>I87</f>
        <v>0</v>
      </c>
      <c r="D22" s="206">
        <f>SUM(J75:J86)</f>
        <v>0</v>
      </c>
      <c r="E22" s="206">
        <f>SUM(K75:K86)</f>
        <v>0</v>
      </c>
      <c r="F22" s="206">
        <f>SUM(L75:L86)</f>
        <v>0</v>
      </c>
      <c r="H22" s="189">
        <f t="shared" si="4"/>
        <v>20</v>
      </c>
      <c r="I22" s="190">
        <f t="shared" si="5"/>
        <v>0</v>
      </c>
      <c r="J22" s="190">
        <f t="shared" si="0"/>
        <v>0</v>
      </c>
      <c r="K22" s="190">
        <f t="shared" si="1"/>
        <v>0</v>
      </c>
      <c r="L22" s="190">
        <f t="shared" si="2"/>
        <v>0</v>
      </c>
      <c r="M22" s="190">
        <f t="shared" si="3"/>
        <v>0</v>
      </c>
    </row>
    <row r="23" spans="2:13" ht="12.75">
      <c r="B23" s="204">
        <v>8</v>
      </c>
      <c r="C23" s="205">
        <f>I99</f>
        <v>0</v>
      </c>
      <c r="D23" s="206">
        <f>SUM(J87:J98)</f>
        <v>0</v>
      </c>
      <c r="E23" s="206">
        <f>SUM(K87:K98)</f>
        <v>0</v>
      </c>
      <c r="F23" s="206">
        <f>SUM(L87:L98)</f>
        <v>0</v>
      </c>
      <c r="H23" s="189">
        <f t="shared" si="4"/>
        <v>21</v>
      </c>
      <c r="I23" s="190">
        <f t="shared" si="5"/>
        <v>0</v>
      </c>
      <c r="J23" s="190">
        <f t="shared" si="0"/>
        <v>0</v>
      </c>
      <c r="K23" s="190">
        <f t="shared" si="1"/>
        <v>0</v>
      </c>
      <c r="L23" s="190">
        <f t="shared" si="2"/>
        <v>0</v>
      </c>
      <c r="M23" s="190">
        <f t="shared" si="3"/>
        <v>0</v>
      </c>
    </row>
    <row r="24" spans="2:13" ht="12.75">
      <c r="B24" s="204">
        <v>9</v>
      </c>
      <c r="C24" s="205">
        <f>I111</f>
        <v>0</v>
      </c>
      <c r="D24" s="206">
        <f>SUM(J99:J110)</f>
        <v>0</v>
      </c>
      <c r="E24" s="206">
        <f>SUM(K99:K110)</f>
        <v>0</v>
      </c>
      <c r="F24" s="206">
        <f>SUM(L99:L110)</f>
        <v>0</v>
      </c>
      <c r="H24" s="189">
        <f t="shared" si="4"/>
        <v>22</v>
      </c>
      <c r="I24" s="190">
        <f t="shared" si="5"/>
        <v>0</v>
      </c>
      <c r="J24" s="190">
        <f t="shared" si="0"/>
        <v>0</v>
      </c>
      <c r="K24" s="190">
        <f t="shared" si="1"/>
        <v>0</v>
      </c>
      <c r="L24" s="190">
        <f t="shared" si="2"/>
        <v>0</v>
      </c>
      <c r="M24" s="190">
        <f t="shared" si="3"/>
        <v>0</v>
      </c>
    </row>
    <row r="25" spans="2:13" ht="12.75">
      <c r="B25" s="208">
        <v>10</v>
      </c>
      <c r="C25" s="209">
        <f>I113</f>
        <v>0</v>
      </c>
      <c r="D25" s="210">
        <f>SUM(J111:J120)</f>
        <v>0</v>
      </c>
      <c r="E25" s="210">
        <f>SUM(K111:K120)</f>
        <v>0</v>
      </c>
      <c r="F25" s="210">
        <f>SUM(L111:L120)</f>
        <v>0</v>
      </c>
      <c r="H25" s="189">
        <f t="shared" si="4"/>
        <v>23</v>
      </c>
      <c r="I25" s="190">
        <f t="shared" si="5"/>
        <v>0</v>
      </c>
      <c r="J25" s="190">
        <f t="shared" si="0"/>
        <v>0</v>
      </c>
      <c r="K25" s="190">
        <f t="shared" si="1"/>
        <v>0</v>
      </c>
      <c r="L25" s="190">
        <f t="shared" si="2"/>
        <v>0</v>
      </c>
      <c r="M25" s="190">
        <f t="shared" si="3"/>
        <v>0</v>
      </c>
    </row>
    <row r="26" spans="4:13" ht="12.75">
      <c r="D26" s="181"/>
      <c r="H26" s="189">
        <f t="shared" si="4"/>
        <v>24</v>
      </c>
      <c r="I26" s="190">
        <f t="shared" si="5"/>
        <v>0</v>
      </c>
      <c r="J26" s="190">
        <f t="shared" si="0"/>
        <v>0</v>
      </c>
      <c r="K26" s="190">
        <f t="shared" si="1"/>
        <v>0</v>
      </c>
      <c r="L26" s="190">
        <f t="shared" si="2"/>
        <v>0</v>
      </c>
      <c r="M26" s="190">
        <f t="shared" si="3"/>
        <v>0</v>
      </c>
    </row>
    <row r="27" spans="4:13" ht="12.75">
      <c r="D27" s="181"/>
      <c r="H27" s="189">
        <f t="shared" si="4"/>
        <v>25</v>
      </c>
      <c r="I27" s="190">
        <f t="shared" si="5"/>
        <v>0</v>
      </c>
      <c r="J27" s="190">
        <f t="shared" si="0"/>
        <v>0</v>
      </c>
      <c r="K27" s="190">
        <f t="shared" si="1"/>
        <v>0</v>
      </c>
      <c r="L27" s="190">
        <f t="shared" si="2"/>
        <v>0</v>
      </c>
      <c r="M27" s="190">
        <f t="shared" si="3"/>
        <v>0</v>
      </c>
    </row>
    <row r="28" spans="4:13" ht="12.75">
      <c r="D28" s="181"/>
      <c r="H28" s="189">
        <f t="shared" si="4"/>
        <v>26</v>
      </c>
      <c r="I28" s="190">
        <f t="shared" si="5"/>
        <v>0</v>
      </c>
      <c r="J28" s="190">
        <f t="shared" si="0"/>
        <v>0</v>
      </c>
      <c r="K28" s="190">
        <f t="shared" si="1"/>
        <v>0</v>
      </c>
      <c r="L28" s="190">
        <f t="shared" si="2"/>
        <v>0</v>
      </c>
      <c r="M28" s="190">
        <f t="shared" si="3"/>
        <v>0</v>
      </c>
    </row>
    <row r="29" spans="4:13" ht="12.75">
      <c r="D29" s="181"/>
      <c r="H29" s="189">
        <f t="shared" si="4"/>
        <v>27</v>
      </c>
      <c r="I29" s="190">
        <f t="shared" si="5"/>
        <v>0</v>
      </c>
      <c r="J29" s="190">
        <f t="shared" si="0"/>
        <v>0</v>
      </c>
      <c r="K29" s="190">
        <f t="shared" si="1"/>
        <v>0</v>
      </c>
      <c r="L29" s="190">
        <f t="shared" si="2"/>
        <v>0</v>
      </c>
      <c r="M29" s="190">
        <f t="shared" si="3"/>
        <v>0</v>
      </c>
    </row>
    <row r="30" spans="4:13" ht="12.75">
      <c r="D30" s="181"/>
      <c r="H30" s="189">
        <f t="shared" si="4"/>
        <v>28</v>
      </c>
      <c r="I30" s="190">
        <f t="shared" si="5"/>
        <v>0</v>
      </c>
      <c r="J30" s="190">
        <f t="shared" si="0"/>
        <v>0</v>
      </c>
      <c r="K30" s="190">
        <f t="shared" si="1"/>
        <v>0</v>
      </c>
      <c r="L30" s="190">
        <f t="shared" si="2"/>
        <v>0</v>
      </c>
      <c r="M30" s="190">
        <f t="shared" si="3"/>
        <v>0</v>
      </c>
    </row>
    <row r="31" spans="4:13" ht="12.75">
      <c r="D31" s="181"/>
      <c r="H31" s="189">
        <f t="shared" si="4"/>
        <v>29</v>
      </c>
      <c r="I31" s="190">
        <f t="shared" si="5"/>
        <v>0</v>
      </c>
      <c r="J31" s="190">
        <f t="shared" si="0"/>
        <v>0</v>
      </c>
      <c r="K31" s="190">
        <f t="shared" si="1"/>
        <v>0</v>
      </c>
      <c r="L31" s="190">
        <f t="shared" si="2"/>
        <v>0</v>
      </c>
      <c r="M31" s="190">
        <f t="shared" si="3"/>
        <v>0</v>
      </c>
    </row>
    <row r="32" spans="4:13" ht="12.75">
      <c r="D32" s="181"/>
      <c r="H32" s="189">
        <f t="shared" si="4"/>
        <v>30</v>
      </c>
      <c r="I32" s="190">
        <f t="shared" si="5"/>
        <v>0</v>
      </c>
      <c r="J32" s="190">
        <f t="shared" si="0"/>
        <v>0</v>
      </c>
      <c r="K32" s="190">
        <f t="shared" si="1"/>
        <v>0</v>
      </c>
      <c r="L32" s="190">
        <f t="shared" si="2"/>
        <v>0</v>
      </c>
      <c r="M32" s="190">
        <f t="shared" si="3"/>
        <v>0</v>
      </c>
    </row>
    <row r="33" spans="4:13" ht="12.75">
      <c r="D33" s="181"/>
      <c r="H33" s="189">
        <f t="shared" si="4"/>
        <v>31</v>
      </c>
      <c r="I33" s="190">
        <f t="shared" si="5"/>
        <v>0</v>
      </c>
      <c r="J33" s="190">
        <f t="shared" si="0"/>
        <v>0</v>
      </c>
      <c r="K33" s="190">
        <f t="shared" si="1"/>
        <v>0</v>
      </c>
      <c r="L33" s="190">
        <f t="shared" si="2"/>
        <v>0</v>
      </c>
      <c r="M33" s="190">
        <f t="shared" si="3"/>
        <v>0</v>
      </c>
    </row>
    <row r="34" spans="4:13" ht="12.75">
      <c r="D34" s="181"/>
      <c r="H34" s="189">
        <f t="shared" si="4"/>
        <v>32</v>
      </c>
      <c r="I34" s="190">
        <f t="shared" si="5"/>
        <v>0</v>
      </c>
      <c r="J34" s="190">
        <f t="shared" si="0"/>
        <v>0</v>
      </c>
      <c r="K34" s="190">
        <f t="shared" si="1"/>
        <v>0</v>
      </c>
      <c r="L34" s="190">
        <f t="shared" si="2"/>
        <v>0</v>
      </c>
      <c r="M34" s="190">
        <f t="shared" si="3"/>
        <v>0</v>
      </c>
    </row>
    <row r="35" spans="4:13" ht="12.75">
      <c r="D35" s="181"/>
      <c r="H35" s="189">
        <f t="shared" si="4"/>
        <v>33</v>
      </c>
      <c r="I35" s="190">
        <f t="shared" si="5"/>
        <v>0</v>
      </c>
      <c r="J35" s="190">
        <f t="shared" si="0"/>
        <v>0</v>
      </c>
      <c r="K35" s="190">
        <f t="shared" si="1"/>
        <v>0</v>
      </c>
      <c r="L35" s="190">
        <f t="shared" si="2"/>
        <v>0</v>
      </c>
      <c r="M35" s="190">
        <f t="shared" si="3"/>
        <v>0</v>
      </c>
    </row>
    <row r="36" spans="4:13" ht="12.75">
      <c r="D36" s="181"/>
      <c r="H36" s="189">
        <f t="shared" si="4"/>
        <v>34</v>
      </c>
      <c r="I36" s="190">
        <f t="shared" si="5"/>
        <v>0</v>
      </c>
      <c r="J36" s="190">
        <f t="shared" si="0"/>
        <v>0</v>
      </c>
      <c r="K36" s="190">
        <f t="shared" si="1"/>
        <v>0</v>
      </c>
      <c r="L36" s="190">
        <f t="shared" si="2"/>
        <v>0</v>
      </c>
      <c r="M36" s="190">
        <f t="shared" si="3"/>
        <v>0</v>
      </c>
    </row>
    <row r="37" spans="4:13" ht="12.75">
      <c r="D37" s="181"/>
      <c r="H37" s="189">
        <f t="shared" si="4"/>
        <v>35</v>
      </c>
      <c r="I37" s="190">
        <f t="shared" si="5"/>
        <v>0</v>
      </c>
      <c r="J37" s="190">
        <f t="shared" si="0"/>
        <v>0</v>
      </c>
      <c r="K37" s="190">
        <f t="shared" si="1"/>
        <v>0</v>
      </c>
      <c r="L37" s="190">
        <f t="shared" si="2"/>
        <v>0</v>
      </c>
      <c r="M37" s="190">
        <f t="shared" si="3"/>
        <v>0</v>
      </c>
    </row>
    <row r="38" spans="4:13" ht="12.75">
      <c r="D38" s="181"/>
      <c r="H38" s="189">
        <f t="shared" si="4"/>
        <v>36</v>
      </c>
      <c r="I38" s="190">
        <f t="shared" si="5"/>
        <v>0</v>
      </c>
      <c r="J38" s="190">
        <f t="shared" si="0"/>
        <v>0</v>
      </c>
      <c r="K38" s="190">
        <f t="shared" si="1"/>
        <v>0</v>
      </c>
      <c r="L38" s="190">
        <f t="shared" si="2"/>
        <v>0</v>
      </c>
      <c r="M38" s="190">
        <f t="shared" si="3"/>
        <v>0</v>
      </c>
    </row>
    <row r="39" spans="4:13" ht="12.75">
      <c r="D39" s="181"/>
      <c r="H39" s="189">
        <f t="shared" si="4"/>
        <v>37</v>
      </c>
      <c r="I39" s="190">
        <f t="shared" si="5"/>
        <v>0</v>
      </c>
      <c r="J39" s="190">
        <f t="shared" si="0"/>
        <v>0</v>
      </c>
      <c r="K39" s="190">
        <f t="shared" si="1"/>
        <v>0</v>
      </c>
      <c r="L39" s="190">
        <f t="shared" si="2"/>
        <v>0</v>
      </c>
      <c r="M39" s="190">
        <f t="shared" si="3"/>
        <v>0</v>
      </c>
    </row>
    <row r="40" spans="4:13" ht="12.75">
      <c r="D40" s="181"/>
      <c r="H40" s="189">
        <f t="shared" si="4"/>
        <v>38</v>
      </c>
      <c r="I40" s="190">
        <f t="shared" si="5"/>
        <v>0</v>
      </c>
      <c r="J40" s="190">
        <f t="shared" si="0"/>
        <v>0</v>
      </c>
      <c r="K40" s="190">
        <f t="shared" si="1"/>
        <v>0</v>
      </c>
      <c r="L40" s="190">
        <f t="shared" si="2"/>
        <v>0</v>
      </c>
      <c r="M40" s="190">
        <f t="shared" si="3"/>
        <v>0</v>
      </c>
    </row>
    <row r="41" spans="4:13" ht="12.75">
      <c r="D41" s="181"/>
      <c r="H41" s="189">
        <f t="shared" si="4"/>
        <v>39</v>
      </c>
      <c r="I41" s="190">
        <f t="shared" si="5"/>
        <v>0</v>
      </c>
      <c r="J41" s="190">
        <f t="shared" si="0"/>
        <v>0</v>
      </c>
      <c r="K41" s="190">
        <f t="shared" si="1"/>
        <v>0</v>
      </c>
      <c r="L41" s="190">
        <f t="shared" si="2"/>
        <v>0</v>
      </c>
      <c r="M41" s="190">
        <f t="shared" si="3"/>
        <v>0</v>
      </c>
    </row>
    <row r="42" spans="4:13" ht="12.75">
      <c r="D42" s="181"/>
      <c r="H42" s="189">
        <f t="shared" si="4"/>
        <v>40</v>
      </c>
      <c r="I42" s="190">
        <f t="shared" si="5"/>
        <v>0</v>
      </c>
      <c r="J42" s="190">
        <f t="shared" si="0"/>
        <v>0</v>
      </c>
      <c r="K42" s="190">
        <f t="shared" si="1"/>
        <v>0</v>
      </c>
      <c r="L42" s="190">
        <f t="shared" si="2"/>
        <v>0</v>
      </c>
      <c r="M42" s="190">
        <f t="shared" si="3"/>
        <v>0</v>
      </c>
    </row>
    <row r="43" spans="4:13" ht="12.75">
      <c r="D43" s="181"/>
      <c r="H43" s="189">
        <f t="shared" si="4"/>
        <v>41</v>
      </c>
      <c r="I43" s="190">
        <f t="shared" si="5"/>
        <v>0</v>
      </c>
      <c r="J43" s="190">
        <f t="shared" si="0"/>
        <v>0</v>
      </c>
      <c r="K43" s="190">
        <f t="shared" si="1"/>
        <v>0</v>
      </c>
      <c r="L43" s="190">
        <f t="shared" si="2"/>
        <v>0</v>
      </c>
      <c r="M43" s="190">
        <f t="shared" si="3"/>
        <v>0</v>
      </c>
    </row>
    <row r="44" spans="4:13" ht="12.75">
      <c r="D44" s="181"/>
      <c r="H44" s="189">
        <f t="shared" si="4"/>
        <v>42</v>
      </c>
      <c r="I44" s="190">
        <f t="shared" si="5"/>
        <v>0</v>
      </c>
      <c r="J44" s="190">
        <f t="shared" si="0"/>
        <v>0</v>
      </c>
      <c r="K44" s="190">
        <f t="shared" si="1"/>
        <v>0</v>
      </c>
      <c r="L44" s="190">
        <f t="shared" si="2"/>
        <v>0</v>
      </c>
      <c r="M44" s="190">
        <f t="shared" si="3"/>
        <v>0</v>
      </c>
    </row>
    <row r="45" spans="4:13" ht="12.75">
      <c r="D45" s="181"/>
      <c r="H45" s="189">
        <f t="shared" si="4"/>
        <v>43</v>
      </c>
      <c r="I45" s="190">
        <f t="shared" si="5"/>
        <v>0</v>
      </c>
      <c r="J45" s="190">
        <f t="shared" si="0"/>
        <v>0</v>
      </c>
      <c r="K45" s="190">
        <f t="shared" si="1"/>
        <v>0</v>
      </c>
      <c r="L45" s="190">
        <f t="shared" si="2"/>
        <v>0</v>
      </c>
      <c r="M45" s="190">
        <f t="shared" si="3"/>
        <v>0</v>
      </c>
    </row>
    <row r="46" spans="4:13" ht="12.75">
      <c r="D46" s="181"/>
      <c r="H46" s="189">
        <f t="shared" si="4"/>
        <v>44</v>
      </c>
      <c r="I46" s="190">
        <f t="shared" si="5"/>
        <v>0</v>
      </c>
      <c r="J46" s="190">
        <f t="shared" si="0"/>
        <v>0</v>
      </c>
      <c r="K46" s="190">
        <f t="shared" si="1"/>
        <v>0</v>
      </c>
      <c r="L46" s="190">
        <f t="shared" si="2"/>
        <v>0</v>
      </c>
      <c r="M46" s="190">
        <f t="shared" si="3"/>
        <v>0</v>
      </c>
    </row>
    <row r="47" spans="4:13" ht="12.75">
      <c r="D47" s="181"/>
      <c r="H47" s="189">
        <f t="shared" si="4"/>
        <v>45</v>
      </c>
      <c r="I47" s="190">
        <f t="shared" si="5"/>
        <v>0</v>
      </c>
      <c r="J47" s="190">
        <f t="shared" si="0"/>
        <v>0</v>
      </c>
      <c r="K47" s="190">
        <f t="shared" si="1"/>
        <v>0</v>
      </c>
      <c r="L47" s="190">
        <f t="shared" si="2"/>
        <v>0</v>
      </c>
      <c r="M47" s="190">
        <f t="shared" si="3"/>
        <v>0</v>
      </c>
    </row>
    <row r="48" spans="4:13" ht="12.75">
      <c r="D48" s="181"/>
      <c r="H48" s="189">
        <f t="shared" si="4"/>
        <v>46</v>
      </c>
      <c r="I48" s="190">
        <f t="shared" si="5"/>
        <v>0</v>
      </c>
      <c r="J48" s="190">
        <f t="shared" si="0"/>
        <v>0</v>
      </c>
      <c r="K48" s="190">
        <f t="shared" si="1"/>
        <v>0</v>
      </c>
      <c r="L48" s="190">
        <f t="shared" si="2"/>
        <v>0</v>
      </c>
      <c r="M48" s="190">
        <f t="shared" si="3"/>
        <v>0</v>
      </c>
    </row>
    <row r="49" spans="4:13" ht="12.75">
      <c r="D49" s="181"/>
      <c r="H49" s="189">
        <f t="shared" si="4"/>
        <v>47</v>
      </c>
      <c r="I49" s="190">
        <f t="shared" si="5"/>
        <v>0</v>
      </c>
      <c r="J49" s="190">
        <f t="shared" si="0"/>
        <v>0</v>
      </c>
      <c r="K49" s="190">
        <f t="shared" si="1"/>
        <v>0</v>
      </c>
      <c r="L49" s="190">
        <f t="shared" si="2"/>
        <v>0</v>
      </c>
      <c r="M49" s="190">
        <f t="shared" si="3"/>
        <v>0</v>
      </c>
    </row>
    <row r="50" spans="4:13" ht="12.75">
      <c r="D50" s="181"/>
      <c r="H50" s="189">
        <f t="shared" si="4"/>
        <v>48</v>
      </c>
      <c r="I50" s="190">
        <f t="shared" si="5"/>
        <v>0</v>
      </c>
      <c r="J50" s="190">
        <f t="shared" si="0"/>
        <v>0</v>
      </c>
      <c r="K50" s="190">
        <f t="shared" si="1"/>
        <v>0</v>
      </c>
      <c r="L50" s="190">
        <f t="shared" si="2"/>
        <v>0</v>
      </c>
      <c r="M50" s="190">
        <f t="shared" si="3"/>
        <v>0</v>
      </c>
    </row>
    <row r="51" spans="4:13" ht="12.75">
      <c r="D51" s="181"/>
      <c r="H51" s="189">
        <f t="shared" si="4"/>
        <v>49</v>
      </c>
      <c r="I51" s="190">
        <f t="shared" si="5"/>
        <v>0</v>
      </c>
      <c r="J51" s="190">
        <f t="shared" si="0"/>
        <v>0</v>
      </c>
      <c r="K51" s="190">
        <f t="shared" si="1"/>
        <v>0</v>
      </c>
      <c r="L51" s="190">
        <f t="shared" si="2"/>
        <v>0</v>
      </c>
      <c r="M51" s="190">
        <f t="shared" si="3"/>
        <v>0</v>
      </c>
    </row>
    <row r="52" spans="4:13" ht="12.75">
      <c r="D52" s="181"/>
      <c r="H52" s="189">
        <f t="shared" si="4"/>
        <v>50</v>
      </c>
      <c r="I52" s="190">
        <f t="shared" si="5"/>
        <v>0</v>
      </c>
      <c r="J52" s="190">
        <f t="shared" si="0"/>
        <v>0</v>
      </c>
      <c r="K52" s="190">
        <f t="shared" si="1"/>
        <v>0</v>
      </c>
      <c r="L52" s="190">
        <f t="shared" si="2"/>
        <v>0</v>
      </c>
      <c r="M52" s="190">
        <f t="shared" si="3"/>
        <v>0</v>
      </c>
    </row>
    <row r="53" spans="4:13" ht="12.75">
      <c r="D53" s="181"/>
      <c r="H53" s="189">
        <f t="shared" si="4"/>
        <v>51</v>
      </c>
      <c r="I53" s="190">
        <f t="shared" si="5"/>
        <v>0</v>
      </c>
      <c r="J53" s="190">
        <f t="shared" si="0"/>
        <v>0</v>
      </c>
      <c r="K53" s="190">
        <f t="shared" si="1"/>
        <v>0</v>
      </c>
      <c r="L53" s="190">
        <f t="shared" si="2"/>
        <v>0</v>
      </c>
      <c r="M53" s="190">
        <f t="shared" si="3"/>
        <v>0</v>
      </c>
    </row>
    <row r="54" spans="4:13" ht="12.75">
      <c r="D54" s="181"/>
      <c r="H54" s="189">
        <f t="shared" si="4"/>
        <v>52</v>
      </c>
      <c r="I54" s="190">
        <f t="shared" si="5"/>
        <v>0</v>
      </c>
      <c r="J54" s="190">
        <f t="shared" si="0"/>
        <v>0</v>
      </c>
      <c r="K54" s="190">
        <f t="shared" si="1"/>
        <v>0</v>
      </c>
      <c r="L54" s="190">
        <f t="shared" si="2"/>
        <v>0</v>
      </c>
      <c r="M54" s="190">
        <f t="shared" si="3"/>
        <v>0</v>
      </c>
    </row>
    <row r="55" spans="4:13" ht="12.75">
      <c r="D55" s="181"/>
      <c r="H55" s="189">
        <f t="shared" si="4"/>
        <v>53</v>
      </c>
      <c r="I55" s="190">
        <f t="shared" si="5"/>
        <v>0</v>
      </c>
      <c r="J55" s="190">
        <f t="shared" si="0"/>
        <v>0</v>
      </c>
      <c r="K55" s="190">
        <f t="shared" si="1"/>
        <v>0</v>
      </c>
      <c r="L55" s="190">
        <f t="shared" si="2"/>
        <v>0</v>
      </c>
      <c r="M55" s="190">
        <f t="shared" si="3"/>
        <v>0</v>
      </c>
    </row>
    <row r="56" spans="4:13" ht="12.75">
      <c r="D56" s="181"/>
      <c r="H56" s="189">
        <f t="shared" si="4"/>
        <v>54</v>
      </c>
      <c r="I56" s="190">
        <f t="shared" si="5"/>
        <v>0</v>
      </c>
      <c r="J56" s="190">
        <f t="shared" si="0"/>
        <v>0</v>
      </c>
      <c r="K56" s="190">
        <f t="shared" si="1"/>
        <v>0</v>
      </c>
      <c r="L56" s="190">
        <f t="shared" si="2"/>
        <v>0</v>
      </c>
      <c r="M56" s="190">
        <f t="shared" si="3"/>
        <v>0</v>
      </c>
    </row>
    <row r="57" spans="4:13" ht="12.75">
      <c r="D57" s="181"/>
      <c r="H57" s="189">
        <f t="shared" si="4"/>
        <v>55</v>
      </c>
      <c r="I57" s="190">
        <f t="shared" si="5"/>
        <v>0</v>
      </c>
      <c r="J57" s="190">
        <f t="shared" si="0"/>
        <v>0</v>
      </c>
      <c r="K57" s="190">
        <f t="shared" si="1"/>
        <v>0</v>
      </c>
      <c r="L57" s="190">
        <f t="shared" si="2"/>
        <v>0</v>
      </c>
      <c r="M57" s="190">
        <f t="shared" si="3"/>
        <v>0</v>
      </c>
    </row>
    <row r="58" spans="4:13" ht="12.75">
      <c r="D58" s="181"/>
      <c r="H58" s="189">
        <f t="shared" si="4"/>
        <v>56</v>
      </c>
      <c r="I58" s="190">
        <f t="shared" si="5"/>
        <v>0</v>
      </c>
      <c r="J58" s="190">
        <f t="shared" si="0"/>
        <v>0</v>
      </c>
      <c r="K58" s="190">
        <f t="shared" si="1"/>
        <v>0</v>
      </c>
      <c r="L58" s="190">
        <f t="shared" si="2"/>
        <v>0</v>
      </c>
      <c r="M58" s="190">
        <f t="shared" si="3"/>
        <v>0</v>
      </c>
    </row>
    <row r="59" spans="4:13" ht="12.75">
      <c r="D59" s="181"/>
      <c r="H59" s="189">
        <f t="shared" si="4"/>
        <v>57</v>
      </c>
      <c r="I59" s="190">
        <f t="shared" si="5"/>
        <v>0</v>
      </c>
      <c r="J59" s="190">
        <f t="shared" si="0"/>
        <v>0</v>
      </c>
      <c r="K59" s="190">
        <f t="shared" si="1"/>
        <v>0</v>
      </c>
      <c r="L59" s="190">
        <f t="shared" si="2"/>
        <v>0</v>
      </c>
      <c r="M59" s="190">
        <f t="shared" si="3"/>
        <v>0</v>
      </c>
    </row>
    <row r="60" spans="4:13" ht="12.75">
      <c r="D60" s="181"/>
      <c r="H60" s="189">
        <f t="shared" si="4"/>
        <v>58</v>
      </c>
      <c r="I60" s="190">
        <f t="shared" si="5"/>
        <v>0</v>
      </c>
      <c r="J60" s="190">
        <f t="shared" si="0"/>
        <v>0</v>
      </c>
      <c r="K60" s="190">
        <f t="shared" si="1"/>
        <v>0</v>
      </c>
      <c r="L60" s="190">
        <f t="shared" si="2"/>
        <v>0</v>
      </c>
      <c r="M60" s="190">
        <f t="shared" si="3"/>
        <v>0</v>
      </c>
    </row>
    <row r="61" spans="4:13" ht="12.75">
      <c r="D61" s="181"/>
      <c r="H61" s="189">
        <f t="shared" si="4"/>
        <v>59</v>
      </c>
      <c r="I61" s="190">
        <f t="shared" si="5"/>
        <v>0</v>
      </c>
      <c r="J61" s="190">
        <f t="shared" si="0"/>
        <v>0</v>
      </c>
      <c r="K61" s="190">
        <f t="shared" si="1"/>
        <v>0</v>
      </c>
      <c r="L61" s="190">
        <f t="shared" si="2"/>
        <v>0</v>
      </c>
      <c r="M61" s="190">
        <f t="shared" si="3"/>
        <v>0</v>
      </c>
    </row>
    <row r="62" spans="4:13" ht="12.75">
      <c r="D62" s="181"/>
      <c r="H62" s="189">
        <f t="shared" si="4"/>
        <v>60</v>
      </c>
      <c r="I62" s="190">
        <f t="shared" si="5"/>
        <v>0</v>
      </c>
      <c r="J62" s="190">
        <f t="shared" si="0"/>
        <v>0</v>
      </c>
      <c r="K62" s="190">
        <f t="shared" si="1"/>
        <v>0</v>
      </c>
      <c r="L62" s="190">
        <f t="shared" si="2"/>
        <v>0</v>
      </c>
      <c r="M62" s="190">
        <f t="shared" si="3"/>
        <v>0</v>
      </c>
    </row>
    <row r="63" spans="4:13" ht="12.75">
      <c r="D63" s="181"/>
      <c r="H63" s="189">
        <f t="shared" si="4"/>
        <v>61</v>
      </c>
      <c r="I63" s="190">
        <f t="shared" si="5"/>
        <v>0</v>
      </c>
      <c r="J63" s="190">
        <f t="shared" si="0"/>
        <v>0</v>
      </c>
      <c r="K63" s="190">
        <f t="shared" si="1"/>
        <v>0</v>
      </c>
      <c r="L63" s="190">
        <f t="shared" si="2"/>
        <v>0</v>
      </c>
      <c r="M63" s="190">
        <f t="shared" si="3"/>
        <v>0</v>
      </c>
    </row>
    <row r="64" spans="4:13" ht="12.75">
      <c r="D64" s="181"/>
      <c r="H64" s="189">
        <f t="shared" si="4"/>
        <v>62</v>
      </c>
      <c r="I64" s="190">
        <f t="shared" si="5"/>
        <v>0</v>
      </c>
      <c r="J64" s="190">
        <f t="shared" si="0"/>
        <v>0</v>
      </c>
      <c r="K64" s="190">
        <f t="shared" si="1"/>
        <v>0</v>
      </c>
      <c r="L64" s="190">
        <f t="shared" si="2"/>
        <v>0</v>
      </c>
      <c r="M64" s="190">
        <f t="shared" si="3"/>
        <v>0</v>
      </c>
    </row>
    <row r="65" spans="4:13" ht="12.75">
      <c r="D65" s="181"/>
      <c r="H65" s="189">
        <f t="shared" si="4"/>
        <v>63</v>
      </c>
      <c r="I65" s="190">
        <f t="shared" si="5"/>
        <v>0</v>
      </c>
      <c r="J65" s="190">
        <f t="shared" si="0"/>
        <v>0</v>
      </c>
      <c r="K65" s="190">
        <f t="shared" si="1"/>
        <v>0</v>
      </c>
      <c r="L65" s="190">
        <f t="shared" si="2"/>
        <v>0</v>
      </c>
      <c r="M65" s="190">
        <f t="shared" si="3"/>
        <v>0</v>
      </c>
    </row>
    <row r="66" spans="4:13" ht="12.75">
      <c r="D66" s="181"/>
      <c r="H66" s="189">
        <f t="shared" si="4"/>
        <v>64</v>
      </c>
      <c r="I66" s="190">
        <f t="shared" si="5"/>
        <v>0</v>
      </c>
      <c r="J66" s="190">
        <f t="shared" si="0"/>
        <v>0</v>
      </c>
      <c r="K66" s="190">
        <f t="shared" si="1"/>
        <v>0</v>
      </c>
      <c r="L66" s="190">
        <f t="shared" si="2"/>
        <v>0</v>
      </c>
      <c r="M66" s="190">
        <f t="shared" si="3"/>
        <v>0</v>
      </c>
    </row>
    <row r="67" spans="4:13" ht="12.75">
      <c r="D67" s="181"/>
      <c r="H67" s="189">
        <f t="shared" si="4"/>
        <v>65</v>
      </c>
      <c r="I67" s="190">
        <f t="shared" si="5"/>
        <v>0</v>
      </c>
      <c r="J67" s="190">
        <f aca="true" t="shared" si="6" ref="J67:J122">IF(K67=0,0,L67-K67)</f>
        <v>0</v>
      </c>
      <c r="K67" s="190">
        <f aca="true" t="shared" si="7" ref="K67:K122">IF(AND(H67&gt;$B$7,H67&lt;=$B$9),ROUND((($B$5+$B$6)/12)*I67,3),0)</f>
        <v>0</v>
      </c>
      <c r="L67" s="190">
        <f aca="true" t="shared" si="8" ref="L67:L122">IF(AND(H67&gt;$B$7,H67&lt;=$B$9),$B$11,0)</f>
        <v>0</v>
      </c>
      <c r="M67" s="190">
        <f aca="true" t="shared" si="9" ref="M67:M122">I67-J67</f>
        <v>0</v>
      </c>
    </row>
    <row r="68" spans="4:13" ht="12.75">
      <c r="D68" s="181"/>
      <c r="H68" s="189">
        <f aca="true" t="shared" si="10" ref="H68:H122">1+H67</f>
        <v>66</v>
      </c>
      <c r="I68" s="190">
        <f aca="true" t="shared" si="11" ref="I68:I122">IF(H68&gt;$B$9,0,M67)</f>
        <v>0</v>
      </c>
      <c r="J68" s="190">
        <f t="shared" si="6"/>
        <v>0</v>
      </c>
      <c r="K68" s="190">
        <f t="shared" si="7"/>
        <v>0</v>
      </c>
      <c r="L68" s="190">
        <f t="shared" si="8"/>
        <v>0</v>
      </c>
      <c r="M68" s="190">
        <f t="shared" si="9"/>
        <v>0</v>
      </c>
    </row>
    <row r="69" spans="4:13" ht="12.75">
      <c r="D69" s="181"/>
      <c r="H69" s="189">
        <f t="shared" si="10"/>
        <v>67</v>
      </c>
      <c r="I69" s="190">
        <f t="shared" si="11"/>
        <v>0</v>
      </c>
      <c r="J69" s="190">
        <f t="shared" si="6"/>
        <v>0</v>
      </c>
      <c r="K69" s="190">
        <f t="shared" si="7"/>
        <v>0</v>
      </c>
      <c r="L69" s="190">
        <f t="shared" si="8"/>
        <v>0</v>
      </c>
      <c r="M69" s="190">
        <f t="shared" si="9"/>
        <v>0</v>
      </c>
    </row>
    <row r="70" spans="4:13" ht="12.75">
      <c r="D70" s="181"/>
      <c r="H70" s="189">
        <f t="shared" si="10"/>
        <v>68</v>
      </c>
      <c r="I70" s="190">
        <f t="shared" si="11"/>
        <v>0</v>
      </c>
      <c r="J70" s="190">
        <f t="shared" si="6"/>
        <v>0</v>
      </c>
      <c r="K70" s="190">
        <f t="shared" si="7"/>
        <v>0</v>
      </c>
      <c r="L70" s="190">
        <f t="shared" si="8"/>
        <v>0</v>
      </c>
      <c r="M70" s="190">
        <f t="shared" si="9"/>
        <v>0</v>
      </c>
    </row>
    <row r="71" spans="4:13" ht="12.75">
      <c r="D71" s="181"/>
      <c r="H71" s="189">
        <f t="shared" si="10"/>
        <v>69</v>
      </c>
      <c r="I71" s="190">
        <f t="shared" si="11"/>
        <v>0</v>
      </c>
      <c r="J71" s="190">
        <f t="shared" si="6"/>
        <v>0</v>
      </c>
      <c r="K71" s="190">
        <f t="shared" si="7"/>
        <v>0</v>
      </c>
      <c r="L71" s="190">
        <f t="shared" si="8"/>
        <v>0</v>
      </c>
      <c r="M71" s="190">
        <f t="shared" si="9"/>
        <v>0</v>
      </c>
    </row>
    <row r="72" spans="4:13" ht="12.75">
      <c r="D72" s="181"/>
      <c r="H72" s="189">
        <f t="shared" si="10"/>
        <v>70</v>
      </c>
      <c r="I72" s="190">
        <f t="shared" si="11"/>
        <v>0</v>
      </c>
      <c r="J72" s="190">
        <f t="shared" si="6"/>
        <v>0</v>
      </c>
      <c r="K72" s="190">
        <f t="shared" si="7"/>
        <v>0</v>
      </c>
      <c r="L72" s="190">
        <f t="shared" si="8"/>
        <v>0</v>
      </c>
      <c r="M72" s="190">
        <f t="shared" si="9"/>
        <v>0</v>
      </c>
    </row>
    <row r="73" spans="4:13" ht="12.75">
      <c r="D73" s="181"/>
      <c r="H73" s="189">
        <f t="shared" si="10"/>
        <v>71</v>
      </c>
      <c r="I73" s="190">
        <f t="shared" si="11"/>
        <v>0</v>
      </c>
      <c r="J73" s="190">
        <f t="shared" si="6"/>
        <v>0</v>
      </c>
      <c r="K73" s="190">
        <f t="shared" si="7"/>
        <v>0</v>
      </c>
      <c r="L73" s="190">
        <f t="shared" si="8"/>
        <v>0</v>
      </c>
      <c r="M73" s="190">
        <f t="shared" si="9"/>
        <v>0</v>
      </c>
    </row>
    <row r="74" spans="4:13" ht="12.75">
      <c r="D74" s="181"/>
      <c r="H74" s="189">
        <f t="shared" si="10"/>
        <v>72</v>
      </c>
      <c r="I74" s="190">
        <f t="shared" si="11"/>
        <v>0</v>
      </c>
      <c r="J74" s="190">
        <f t="shared" si="6"/>
        <v>0</v>
      </c>
      <c r="K74" s="190">
        <f t="shared" si="7"/>
        <v>0</v>
      </c>
      <c r="L74" s="190">
        <f t="shared" si="8"/>
        <v>0</v>
      </c>
      <c r="M74" s="190">
        <f t="shared" si="9"/>
        <v>0</v>
      </c>
    </row>
    <row r="75" spans="4:13" ht="12.75">
      <c r="D75" s="181"/>
      <c r="H75" s="189">
        <f t="shared" si="10"/>
        <v>73</v>
      </c>
      <c r="I75" s="190">
        <f t="shared" si="11"/>
        <v>0</v>
      </c>
      <c r="J75" s="190">
        <f t="shared" si="6"/>
        <v>0</v>
      </c>
      <c r="K75" s="190">
        <f t="shared" si="7"/>
        <v>0</v>
      </c>
      <c r="L75" s="190">
        <f t="shared" si="8"/>
        <v>0</v>
      </c>
      <c r="M75" s="190">
        <f t="shared" si="9"/>
        <v>0</v>
      </c>
    </row>
    <row r="76" spans="4:13" ht="12.75">
      <c r="D76" s="181"/>
      <c r="H76" s="189">
        <f t="shared" si="10"/>
        <v>74</v>
      </c>
      <c r="I76" s="190">
        <f t="shared" si="11"/>
        <v>0</v>
      </c>
      <c r="J76" s="190">
        <f t="shared" si="6"/>
        <v>0</v>
      </c>
      <c r="K76" s="190">
        <f t="shared" si="7"/>
        <v>0</v>
      </c>
      <c r="L76" s="190">
        <f t="shared" si="8"/>
        <v>0</v>
      </c>
      <c r="M76" s="190">
        <f t="shared" si="9"/>
        <v>0</v>
      </c>
    </row>
    <row r="77" spans="4:13" ht="12.75">
      <c r="D77" s="181"/>
      <c r="H77" s="189">
        <f t="shared" si="10"/>
        <v>75</v>
      </c>
      <c r="I77" s="190">
        <f t="shared" si="11"/>
        <v>0</v>
      </c>
      <c r="J77" s="190">
        <f t="shared" si="6"/>
        <v>0</v>
      </c>
      <c r="K77" s="190">
        <f t="shared" si="7"/>
        <v>0</v>
      </c>
      <c r="L77" s="190">
        <f t="shared" si="8"/>
        <v>0</v>
      </c>
      <c r="M77" s="190">
        <f t="shared" si="9"/>
        <v>0</v>
      </c>
    </row>
    <row r="78" spans="4:13" ht="12.75">
      <c r="D78" s="181"/>
      <c r="H78" s="189">
        <f t="shared" si="10"/>
        <v>76</v>
      </c>
      <c r="I78" s="190">
        <f t="shared" si="11"/>
        <v>0</v>
      </c>
      <c r="J78" s="190">
        <f t="shared" si="6"/>
        <v>0</v>
      </c>
      <c r="K78" s="190">
        <f t="shared" si="7"/>
        <v>0</v>
      </c>
      <c r="L78" s="190">
        <f t="shared" si="8"/>
        <v>0</v>
      </c>
      <c r="M78" s="190">
        <f t="shared" si="9"/>
        <v>0</v>
      </c>
    </row>
    <row r="79" spans="4:13" ht="12.75">
      <c r="D79" s="181"/>
      <c r="H79" s="189">
        <f t="shared" si="10"/>
        <v>77</v>
      </c>
      <c r="I79" s="190">
        <f t="shared" si="11"/>
        <v>0</v>
      </c>
      <c r="J79" s="190">
        <f t="shared" si="6"/>
        <v>0</v>
      </c>
      <c r="K79" s="190">
        <f t="shared" si="7"/>
        <v>0</v>
      </c>
      <c r="L79" s="190">
        <f t="shared" si="8"/>
        <v>0</v>
      </c>
      <c r="M79" s="190">
        <f t="shared" si="9"/>
        <v>0</v>
      </c>
    </row>
    <row r="80" spans="4:13" ht="12.75">
      <c r="D80" s="181"/>
      <c r="H80" s="189">
        <f t="shared" si="10"/>
        <v>78</v>
      </c>
      <c r="I80" s="190">
        <f t="shared" si="11"/>
        <v>0</v>
      </c>
      <c r="J80" s="190">
        <f t="shared" si="6"/>
        <v>0</v>
      </c>
      <c r="K80" s="190">
        <f t="shared" si="7"/>
        <v>0</v>
      </c>
      <c r="L80" s="190">
        <f t="shared" si="8"/>
        <v>0</v>
      </c>
      <c r="M80" s="190">
        <f t="shared" si="9"/>
        <v>0</v>
      </c>
    </row>
    <row r="81" spans="4:13" ht="12.75">
      <c r="D81" s="181"/>
      <c r="H81" s="189">
        <f t="shared" si="10"/>
        <v>79</v>
      </c>
      <c r="I81" s="190">
        <f t="shared" si="11"/>
        <v>0</v>
      </c>
      <c r="J81" s="190">
        <f t="shared" si="6"/>
        <v>0</v>
      </c>
      <c r="K81" s="190">
        <f t="shared" si="7"/>
        <v>0</v>
      </c>
      <c r="L81" s="190">
        <f t="shared" si="8"/>
        <v>0</v>
      </c>
      <c r="M81" s="190">
        <f t="shared" si="9"/>
        <v>0</v>
      </c>
    </row>
    <row r="82" spans="4:13" ht="12.75">
      <c r="D82" s="181"/>
      <c r="H82" s="189">
        <f t="shared" si="10"/>
        <v>80</v>
      </c>
      <c r="I82" s="190">
        <f t="shared" si="11"/>
        <v>0</v>
      </c>
      <c r="J82" s="190">
        <f t="shared" si="6"/>
        <v>0</v>
      </c>
      <c r="K82" s="190">
        <f t="shared" si="7"/>
        <v>0</v>
      </c>
      <c r="L82" s="190">
        <f t="shared" si="8"/>
        <v>0</v>
      </c>
      <c r="M82" s="190">
        <f t="shared" si="9"/>
        <v>0</v>
      </c>
    </row>
    <row r="83" spans="4:13" ht="12.75">
      <c r="D83" s="181"/>
      <c r="H83" s="189">
        <f t="shared" si="10"/>
        <v>81</v>
      </c>
      <c r="I83" s="190">
        <f t="shared" si="11"/>
        <v>0</v>
      </c>
      <c r="J83" s="190">
        <f t="shared" si="6"/>
        <v>0</v>
      </c>
      <c r="K83" s="190">
        <f t="shared" si="7"/>
        <v>0</v>
      </c>
      <c r="L83" s="190">
        <f t="shared" si="8"/>
        <v>0</v>
      </c>
      <c r="M83" s="190">
        <f t="shared" si="9"/>
        <v>0</v>
      </c>
    </row>
    <row r="84" spans="4:13" ht="12.75">
      <c r="D84" s="181"/>
      <c r="H84" s="189">
        <f t="shared" si="10"/>
        <v>82</v>
      </c>
      <c r="I84" s="190">
        <f t="shared" si="11"/>
        <v>0</v>
      </c>
      <c r="J84" s="190">
        <f t="shared" si="6"/>
        <v>0</v>
      </c>
      <c r="K84" s="190">
        <f t="shared" si="7"/>
        <v>0</v>
      </c>
      <c r="L84" s="190">
        <f t="shared" si="8"/>
        <v>0</v>
      </c>
      <c r="M84" s="190">
        <f t="shared" si="9"/>
        <v>0</v>
      </c>
    </row>
    <row r="85" spans="4:13" ht="12.75">
      <c r="D85" s="181"/>
      <c r="H85" s="189">
        <f t="shared" si="10"/>
        <v>83</v>
      </c>
      <c r="I85" s="190">
        <f t="shared" si="11"/>
        <v>0</v>
      </c>
      <c r="J85" s="190">
        <f t="shared" si="6"/>
        <v>0</v>
      </c>
      <c r="K85" s="190">
        <f t="shared" si="7"/>
        <v>0</v>
      </c>
      <c r="L85" s="190">
        <f t="shared" si="8"/>
        <v>0</v>
      </c>
      <c r="M85" s="190">
        <f t="shared" si="9"/>
        <v>0</v>
      </c>
    </row>
    <row r="86" spans="4:13" ht="12.75">
      <c r="D86" s="181"/>
      <c r="H86" s="189">
        <f t="shared" si="10"/>
        <v>84</v>
      </c>
      <c r="I86" s="190">
        <f t="shared" si="11"/>
        <v>0</v>
      </c>
      <c r="J86" s="190">
        <f t="shared" si="6"/>
        <v>0</v>
      </c>
      <c r="K86" s="190">
        <f t="shared" si="7"/>
        <v>0</v>
      </c>
      <c r="L86" s="190">
        <f t="shared" si="8"/>
        <v>0</v>
      </c>
      <c r="M86" s="190">
        <f t="shared" si="9"/>
        <v>0</v>
      </c>
    </row>
    <row r="87" spans="4:13" ht="12.75">
      <c r="D87" s="181"/>
      <c r="H87" s="189">
        <f t="shared" si="10"/>
        <v>85</v>
      </c>
      <c r="I87" s="190">
        <f t="shared" si="11"/>
        <v>0</v>
      </c>
      <c r="J87" s="190">
        <f t="shared" si="6"/>
        <v>0</v>
      </c>
      <c r="K87" s="190">
        <f t="shared" si="7"/>
        <v>0</v>
      </c>
      <c r="L87" s="190">
        <f t="shared" si="8"/>
        <v>0</v>
      </c>
      <c r="M87" s="190">
        <f t="shared" si="9"/>
        <v>0</v>
      </c>
    </row>
    <row r="88" spans="4:13" ht="12.75">
      <c r="D88" s="181"/>
      <c r="H88" s="189">
        <f t="shared" si="10"/>
        <v>86</v>
      </c>
      <c r="I88" s="190">
        <f t="shared" si="11"/>
        <v>0</v>
      </c>
      <c r="J88" s="190">
        <f t="shared" si="6"/>
        <v>0</v>
      </c>
      <c r="K88" s="190">
        <f t="shared" si="7"/>
        <v>0</v>
      </c>
      <c r="L88" s="190">
        <f t="shared" si="8"/>
        <v>0</v>
      </c>
      <c r="M88" s="190">
        <f t="shared" si="9"/>
        <v>0</v>
      </c>
    </row>
    <row r="89" spans="4:13" ht="12.75">
      <c r="D89" s="181"/>
      <c r="H89" s="189">
        <f t="shared" si="10"/>
        <v>87</v>
      </c>
      <c r="I89" s="190">
        <f t="shared" si="11"/>
        <v>0</v>
      </c>
      <c r="J89" s="190">
        <f t="shared" si="6"/>
        <v>0</v>
      </c>
      <c r="K89" s="190">
        <f t="shared" si="7"/>
        <v>0</v>
      </c>
      <c r="L89" s="190">
        <f t="shared" si="8"/>
        <v>0</v>
      </c>
      <c r="M89" s="190">
        <f t="shared" si="9"/>
        <v>0</v>
      </c>
    </row>
    <row r="90" spans="4:13" ht="12.75">
      <c r="D90" s="181"/>
      <c r="H90" s="189">
        <f t="shared" si="10"/>
        <v>88</v>
      </c>
      <c r="I90" s="190">
        <f t="shared" si="11"/>
        <v>0</v>
      </c>
      <c r="J90" s="190">
        <f t="shared" si="6"/>
        <v>0</v>
      </c>
      <c r="K90" s="190">
        <f t="shared" si="7"/>
        <v>0</v>
      </c>
      <c r="L90" s="190">
        <f t="shared" si="8"/>
        <v>0</v>
      </c>
      <c r="M90" s="190">
        <f t="shared" si="9"/>
        <v>0</v>
      </c>
    </row>
    <row r="91" spans="4:13" ht="12.75">
      <c r="D91" s="181"/>
      <c r="H91" s="189">
        <f t="shared" si="10"/>
        <v>89</v>
      </c>
      <c r="I91" s="190">
        <f t="shared" si="11"/>
        <v>0</v>
      </c>
      <c r="J91" s="190">
        <f t="shared" si="6"/>
        <v>0</v>
      </c>
      <c r="K91" s="190">
        <f t="shared" si="7"/>
        <v>0</v>
      </c>
      <c r="L91" s="190">
        <f t="shared" si="8"/>
        <v>0</v>
      </c>
      <c r="M91" s="190">
        <f t="shared" si="9"/>
        <v>0</v>
      </c>
    </row>
    <row r="92" spans="4:13" ht="12.75">
      <c r="D92" s="181"/>
      <c r="H92" s="189">
        <f t="shared" si="10"/>
        <v>90</v>
      </c>
      <c r="I92" s="190">
        <f t="shared" si="11"/>
        <v>0</v>
      </c>
      <c r="J92" s="190">
        <f t="shared" si="6"/>
        <v>0</v>
      </c>
      <c r="K92" s="190">
        <f t="shared" si="7"/>
        <v>0</v>
      </c>
      <c r="L92" s="190">
        <f t="shared" si="8"/>
        <v>0</v>
      </c>
      <c r="M92" s="190">
        <f t="shared" si="9"/>
        <v>0</v>
      </c>
    </row>
    <row r="93" spans="4:13" ht="12.75">
      <c r="D93" s="181"/>
      <c r="H93" s="189">
        <f t="shared" si="10"/>
        <v>91</v>
      </c>
      <c r="I93" s="190">
        <f t="shared" si="11"/>
        <v>0</v>
      </c>
      <c r="J93" s="190">
        <f t="shared" si="6"/>
        <v>0</v>
      </c>
      <c r="K93" s="190">
        <f t="shared" si="7"/>
        <v>0</v>
      </c>
      <c r="L93" s="190">
        <f t="shared" si="8"/>
        <v>0</v>
      </c>
      <c r="M93" s="190">
        <f t="shared" si="9"/>
        <v>0</v>
      </c>
    </row>
    <row r="94" spans="4:13" ht="12.75">
      <c r="D94" s="181"/>
      <c r="H94" s="189">
        <f t="shared" si="10"/>
        <v>92</v>
      </c>
      <c r="I94" s="190">
        <f t="shared" si="11"/>
        <v>0</v>
      </c>
      <c r="J94" s="190">
        <f t="shared" si="6"/>
        <v>0</v>
      </c>
      <c r="K94" s="190">
        <f t="shared" si="7"/>
        <v>0</v>
      </c>
      <c r="L94" s="190">
        <f t="shared" si="8"/>
        <v>0</v>
      </c>
      <c r="M94" s="190">
        <f t="shared" si="9"/>
        <v>0</v>
      </c>
    </row>
    <row r="95" spans="4:13" ht="12.75">
      <c r="D95" s="181"/>
      <c r="H95" s="189">
        <f t="shared" si="10"/>
        <v>93</v>
      </c>
      <c r="I95" s="190">
        <f t="shared" si="11"/>
        <v>0</v>
      </c>
      <c r="J95" s="190">
        <f t="shared" si="6"/>
        <v>0</v>
      </c>
      <c r="K95" s="190">
        <f t="shared" si="7"/>
        <v>0</v>
      </c>
      <c r="L95" s="190">
        <f t="shared" si="8"/>
        <v>0</v>
      </c>
      <c r="M95" s="190">
        <f t="shared" si="9"/>
        <v>0</v>
      </c>
    </row>
    <row r="96" spans="4:13" ht="12.75">
      <c r="D96" s="181"/>
      <c r="H96" s="189">
        <f t="shared" si="10"/>
        <v>94</v>
      </c>
      <c r="I96" s="190">
        <f t="shared" si="11"/>
        <v>0</v>
      </c>
      <c r="J96" s="190">
        <f t="shared" si="6"/>
        <v>0</v>
      </c>
      <c r="K96" s="190">
        <f t="shared" si="7"/>
        <v>0</v>
      </c>
      <c r="L96" s="190">
        <f t="shared" si="8"/>
        <v>0</v>
      </c>
      <c r="M96" s="190">
        <f t="shared" si="9"/>
        <v>0</v>
      </c>
    </row>
    <row r="97" spans="4:13" ht="12.75">
      <c r="D97" s="181"/>
      <c r="H97" s="189">
        <f t="shared" si="10"/>
        <v>95</v>
      </c>
      <c r="I97" s="190">
        <f t="shared" si="11"/>
        <v>0</v>
      </c>
      <c r="J97" s="190">
        <f t="shared" si="6"/>
        <v>0</v>
      </c>
      <c r="K97" s="190">
        <f t="shared" si="7"/>
        <v>0</v>
      </c>
      <c r="L97" s="190">
        <f t="shared" si="8"/>
        <v>0</v>
      </c>
      <c r="M97" s="190">
        <f t="shared" si="9"/>
        <v>0</v>
      </c>
    </row>
    <row r="98" spans="4:13" ht="12.75">
      <c r="D98" s="181"/>
      <c r="H98" s="189">
        <f t="shared" si="10"/>
        <v>96</v>
      </c>
      <c r="I98" s="190">
        <f t="shared" si="11"/>
        <v>0</v>
      </c>
      <c r="J98" s="190">
        <f t="shared" si="6"/>
        <v>0</v>
      </c>
      <c r="K98" s="190">
        <f t="shared" si="7"/>
        <v>0</v>
      </c>
      <c r="L98" s="190">
        <f t="shared" si="8"/>
        <v>0</v>
      </c>
      <c r="M98" s="190">
        <f t="shared" si="9"/>
        <v>0</v>
      </c>
    </row>
    <row r="99" spans="4:13" ht="12.75">
      <c r="D99" s="181"/>
      <c r="H99" s="189">
        <f t="shared" si="10"/>
        <v>97</v>
      </c>
      <c r="I99" s="190">
        <f t="shared" si="11"/>
        <v>0</v>
      </c>
      <c r="J99" s="190">
        <f t="shared" si="6"/>
        <v>0</v>
      </c>
      <c r="K99" s="190">
        <f t="shared" si="7"/>
        <v>0</v>
      </c>
      <c r="L99" s="190">
        <f t="shared" si="8"/>
        <v>0</v>
      </c>
      <c r="M99" s="190">
        <f t="shared" si="9"/>
        <v>0</v>
      </c>
    </row>
    <row r="100" spans="4:13" ht="12.75">
      <c r="D100" s="181"/>
      <c r="H100" s="189">
        <f t="shared" si="10"/>
        <v>98</v>
      </c>
      <c r="I100" s="190">
        <f t="shared" si="11"/>
        <v>0</v>
      </c>
      <c r="J100" s="190">
        <f t="shared" si="6"/>
        <v>0</v>
      </c>
      <c r="K100" s="190">
        <f t="shared" si="7"/>
        <v>0</v>
      </c>
      <c r="L100" s="190">
        <f t="shared" si="8"/>
        <v>0</v>
      </c>
      <c r="M100" s="190">
        <f t="shared" si="9"/>
        <v>0</v>
      </c>
    </row>
    <row r="101" spans="4:13" ht="12.75">
      <c r="D101" s="181"/>
      <c r="H101" s="189">
        <f t="shared" si="10"/>
        <v>99</v>
      </c>
      <c r="I101" s="190">
        <f t="shared" si="11"/>
        <v>0</v>
      </c>
      <c r="J101" s="190">
        <f t="shared" si="6"/>
        <v>0</v>
      </c>
      <c r="K101" s="190">
        <f t="shared" si="7"/>
        <v>0</v>
      </c>
      <c r="L101" s="190">
        <f t="shared" si="8"/>
        <v>0</v>
      </c>
      <c r="M101" s="190">
        <f t="shared" si="9"/>
        <v>0</v>
      </c>
    </row>
    <row r="102" spans="4:13" ht="12.75">
      <c r="D102" s="181"/>
      <c r="H102" s="189">
        <f t="shared" si="10"/>
        <v>100</v>
      </c>
      <c r="I102" s="190">
        <f t="shared" si="11"/>
        <v>0</v>
      </c>
      <c r="J102" s="190">
        <f t="shared" si="6"/>
        <v>0</v>
      </c>
      <c r="K102" s="190">
        <f t="shared" si="7"/>
        <v>0</v>
      </c>
      <c r="L102" s="190">
        <f t="shared" si="8"/>
        <v>0</v>
      </c>
      <c r="M102" s="190">
        <f t="shared" si="9"/>
        <v>0</v>
      </c>
    </row>
    <row r="103" spans="4:13" ht="12.75">
      <c r="D103" s="181"/>
      <c r="H103" s="189">
        <f t="shared" si="10"/>
        <v>101</v>
      </c>
      <c r="I103" s="190">
        <f t="shared" si="11"/>
        <v>0</v>
      </c>
      <c r="J103" s="190">
        <f t="shared" si="6"/>
        <v>0</v>
      </c>
      <c r="K103" s="190">
        <f t="shared" si="7"/>
        <v>0</v>
      </c>
      <c r="L103" s="190">
        <f t="shared" si="8"/>
        <v>0</v>
      </c>
      <c r="M103" s="190">
        <f t="shared" si="9"/>
        <v>0</v>
      </c>
    </row>
    <row r="104" spans="4:13" ht="12.75">
      <c r="D104" s="181"/>
      <c r="H104" s="189">
        <f t="shared" si="10"/>
        <v>102</v>
      </c>
      <c r="I104" s="190">
        <f t="shared" si="11"/>
        <v>0</v>
      </c>
      <c r="J104" s="190">
        <f t="shared" si="6"/>
        <v>0</v>
      </c>
      <c r="K104" s="190">
        <f t="shared" si="7"/>
        <v>0</v>
      </c>
      <c r="L104" s="190">
        <f t="shared" si="8"/>
        <v>0</v>
      </c>
      <c r="M104" s="190">
        <f t="shared" si="9"/>
        <v>0</v>
      </c>
    </row>
    <row r="105" spans="4:13" ht="12.75">
      <c r="D105" s="181"/>
      <c r="H105" s="189">
        <f t="shared" si="10"/>
        <v>103</v>
      </c>
      <c r="I105" s="190">
        <f t="shared" si="11"/>
        <v>0</v>
      </c>
      <c r="J105" s="190">
        <f t="shared" si="6"/>
        <v>0</v>
      </c>
      <c r="K105" s="190">
        <f t="shared" si="7"/>
        <v>0</v>
      </c>
      <c r="L105" s="190">
        <f t="shared" si="8"/>
        <v>0</v>
      </c>
      <c r="M105" s="190">
        <f t="shared" si="9"/>
        <v>0</v>
      </c>
    </row>
    <row r="106" spans="4:13" ht="12.75">
      <c r="D106" s="181"/>
      <c r="H106" s="189">
        <f t="shared" si="10"/>
        <v>104</v>
      </c>
      <c r="I106" s="190">
        <f t="shared" si="11"/>
        <v>0</v>
      </c>
      <c r="J106" s="190">
        <f t="shared" si="6"/>
        <v>0</v>
      </c>
      <c r="K106" s="190">
        <f t="shared" si="7"/>
        <v>0</v>
      </c>
      <c r="L106" s="190">
        <f t="shared" si="8"/>
        <v>0</v>
      </c>
      <c r="M106" s="190">
        <f t="shared" si="9"/>
        <v>0</v>
      </c>
    </row>
    <row r="107" spans="4:13" ht="12.75">
      <c r="D107" s="181"/>
      <c r="H107" s="189">
        <f t="shared" si="10"/>
        <v>105</v>
      </c>
      <c r="I107" s="190">
        <f t="shared" si="11"/>
        <v>0</v>
      </c>
      <c r="J107" s="190">
        <f t="shared" si="6"/>
        <v>0</v>
      </c>
      <c r="K107" s="190">
        <f t="shared" si="7"/>
        <v>0</v>
      </c>
      <c r="L107" s="190">
        <f t="shared" si="8"/>
        <v>0</v>
      </c>
      <c r="M107" s="190">
        <f t="shared" si="9"/>
        <v>0</v>
      </c>
    </row>
    <row r="108" spans="4:13" ht="12.75">
      <c r="D108" s="181"/>
      <c r="H108" s="189">
        <f t="shared" si="10"/>
        <v>106</v>
      </c>
      <c r="I108" s="190">
        <f t="shared" si="11"/>
        <v>0</v>
      </c>
      <c r="J108" s="190">
        <f t="shared" si="6"/>
        <v>0</v>
      </c>
      <c r="K108" s="190">
        <f t="shared" si="7"/>
        <v>0</v>
      </c>
      <c r="L108" s="190">
        <f t="shared" si="8"/>
        <v>0</v>
      </c>
      <c r="M108" s="190">
        <f t="shared" si="9"/>
        <v>0</v>
      </c>
    </row>
    <row r="109" spans="4:13" ht="12.75">
      <c r="D109" s="181"/>
      <c r="H109" s="189">
        <f t="shared" si="10"/>
        <v>107</v>
      </c>
      <c r="I109" s="190">
        <f t="shared" si="11"/>
        <v>0</v>
      </c>
      <c r="J109" s="190">
        <f t="shared" si="6"/>
        <v>0</v>
      </c>
      <c r="K109" s="190">
        <f t="shared" si="7"/>
        <v>0</v>
      </c>
      <c r="L109" s="190">
        <f t="shared" si="8"/>
        <v>0</v>
      </c>
      <c r="M109" s="190">
        <f t="shared" si="9"/>
        <v>0</v>
      </c>
    </row>
    <row r="110" spans="4:13" ht="12.75">
      <c r="D110" s="181"/>
      <c r="H110" s="189">
        <f t="shared" si="10"/>
        <v>108</v>
      </c>
      <c r="I110" s="190">
        <f t="shared" si="11"/>
        <v>0</v>
      </c>
      <c r="J110" s="190">
        <f t="shared" si="6"/>
        <v>0</v>
      </c>
      <c r="K110" s="190">
        <f t="shared" si="7"/>
        <v>0</v>
      </c>
      <c r="L110" s="190">
        <f t="shared" si="8"/>
        <v>0</v>
      </c>
      <c r="M110" s="190">
        <f t="shared" si="9"/>
        <v>0</v>
      </c>
    </row>
    <row r="111" spans="4:13" ht="12.75">
      <c r="D111" s="181"/>
      <c r="H111" s="189">
        <f t="shared" si="10"/>
        <v>109</v>
      </c>
      <c r="I111" s="190">
        <f t="shared" si="11"/>
        <v>0</v>
      </c>
      <c r="J111" s="190">
        <f t="shared" si="6"/>
        <v>0</v>
      </c>
      <c r="K111" s="190">
        <f t="shared" si="7"/>
        <v>0</v>
      </c>
      <c r="L111" s="190">
        <f t="shared" si="8"/>
        <v>0</v>
      </c>
      <c r="M111" s="190">
        <f t="shared" si="9"/>
        <v>0</v>
      </c>
    </row>
    <row r="112" spans="4:13" ht="12.75">
      <c r="D112" s="181"/>
      <c r="H112" s="189">
        <f t="shared" si="10"/>
        <v>110</v>
      </c>
      <c r="I112" s="190">
        <f t="shared" si="11"/>
        <v>0</v>
      </c>
      <c r="J112" s="190">
        <f t="shared" si="6"/>
        <v>0</v>
      </c>
      <c r="K112" s="190">
        <f t="shared" si="7"/>
        <v>0</v>
      </c>
      <c r="L112" s="190">
        <f t="shared" si="8"/>
        <v>0</v>
      </c>
      <c r="M112" s="190">
        <f t="shared" si="9"/>
        <v>0</v>
      </c>
    </row>
    <row r="113" spans="4:13" ht="12.75">
      <c r="D113" s="181"/>
      <c r="H113" s="189">
        <f t="shared" si="10"/>
        <v>111</v>
      </c>
      <c r="I113" s="190">
        <f t="shared" si="11"/>
        <v>0</v>
      </c>
      <c r="J113" s="190">
        <f t="shared" si="6"/>
        <v>0</v>
      </c>
      <c r="K113" s="190">
        <f t="shared" si="7"/>
        <v>0</v>
      </c>
      <c r="L113" s="190">
        <f t="shared" si="8"/>
        <v>0</v>
      </c>
      <c r="M113" s="190">
        <f t="shared" si="9"/>
        <v>0</v>
      </c>
    </row>
    <row r="114" spans="4:13" ht="12.75">
      <c r="D114" s="181"/>
      <c r="H114" s="189">
        <f t="shared" si="10"/>
        <v>112</v>
      </c>
      <c r="I114" s="190">
        <f t="shared" si="11"/>
        <v>0</v>
      </c>
      <c r="J114" s="190">
        <f t="shared" si="6"/>
        <v>0</v>
      </c>
      <c r="K114" s="190">
        <f t="shared" si="7"/>
        <v>0</v>
      </c>
      <c r="L114" s="190">
        <f t="shared" si="8"/>
        <v>0</v>
      </c>
      <c r="M114" s="190">
        <f t="shared" si="9"/>
        <v>0</v>
      </c>
    </row>
    <row r="115" spans="4:13" ht="12.75">
      <c r="D115" s="181"/>
      <c r="H115" s="189">
        <f t="shared" si="10"/>
        <v>113</v>
      </c>
      <c r="I115" s="190">
        <f t="shared" si="11"/>
        <v>0</v>
      </c>
      <c r="J115" s="190">
        <f t="shared" si="6"/>
        <v>0</v>
      </c>
      <c r="K115" s="190">
        <f t="shared" si="7"/>
        <v>0</v>
      </c>
      <c r="L115" s="190">
        <f t="shared" si="8"/>
        <v>0</v>
      </c>
      <c r="M115" s="190">
        <f t="shared" si="9"/>
        <v>0</v>
      </c>
    </row>
    <row r="116" spans="4:13" ht="12.75">
      <c r="D116" s="181"/>
      <c r="H116" s="189">
        <f t="shared" si="10"/>
        <v>114</v>
      </c>
      <c r="I116" s="190">
        <f t="shared" si="11"/>
        <v>0</v>
      </c>
      <c r="J116" s="190">
        <f t="shared" si="6"/>
        <v>0</v>
      </c>
      <c r="K116" s="190">
        <f t="shared" si="7"/>
        <v>0</v>
      </c>
      <c r="L116" s="190">
        <f t="shared" si="8"/>
        <v>0</v>
      </c>
      <c r="M116" s="190">
        <f t="shared" si="9"/>
        <v>0</v>
      </c>
    </row>
    <row r="117" spans="4:13" ht="12.75">
      <c r="D117" s="181"/>
      <c r="H117" s="189">
        <f t="shared" si="10"/>
        <v>115</v>
      </c>
      <c r="I117" s="190">
        <f t="shared" si="11"/>
        <v>0</v>
      </c>
      <c r="J117" s="190">
        <f t="shared" si="6"/>
        <v>0</v>
      </c>
      <c r="K117" s="190">
        <f t="shared" si="7"/>
        <v>0</v>
      </c>
      <c r="L117" s="190">
        <f t="shared" si="8"/>
        <v>0</v>
      </c>
      <c r="M117" s="190">
        <f t="shared" si="9"/>
        <v>0</v>
      </c>
    </row>
    <row r="118" spans="4:13" ht="12.75">
      <c r="D118" s="181"/>
      <c r="H118" s="189">
        <f t="shared" si="10"/>
        <v>116</v>
      </c>
      <c r="I118" s="190">
        <f t="shared" si="11"/>
        <v>0</v>
      </c>
      <c r="J118" s="190">
        <f t="shared" si="6"/>
        <v>0</v>
      </c>
      <c r="K118" s="190">
        <f t="shared" si="7"/>
        <v>0</v>
      </c>
      <c r="L118" s="190">
        <f t="shared" si="8"/>
        <v>0</v>
      </c>
      <c r="M118" s="190">
        <f t="shared" si="9"/>
        <v>0</v>
      </c>
    </row>
    <row r="119" spans="4:13" ht="12.75">
      <c r="D119" s="181"/>
      <c r="H119" s="189">
        <f t="shared" si="10"/>
        <v>117</v>
      </c>
      <c r="I119" s="190">
        <f t="shared" si="11"/>
        <v>0</v>
      </c>
      <c r="J119" s="190">
        <f t="shared" si="6"/>
        <v>0</v>
      </c>
      <c r="K119" s="190">
        <f t="shared" si="7"/>
        <v>0</v>
      </c>
      <c r="L119" s="190">
        <f t="shared" si="8"/>
        <v>0</v>
      </c>
      <c r="M119" s="190">
        <f t="shared" si="9"/>
        <v>0</v>
      </c>
    </row>
    <row r="120" spans="4:13" ht="12.75">
      <c r="D120" s="181"/>
      <c r="H120" s="189">
        <f t="shared" si="10"/>
        <v>118</v>
      </c>
      <c r="I120" s="190">
        <f t="shared" si="11"/>
        <v>0</v>
      </c>
      <c r="J120" s="190">
        <f t="shared" si="6"/>
        <v>0</v>
      </c>
      <c r="K120" s="190">
        <f t="shared" si="7"/>
        <v>0</v>
      </c>
      <c r="L120" s="190">
        <f t="shared" si="8"/>
        <v>0</v>
      </c>
      <c r="M120" s="190">
        <f t="shared" si="9"/>
        <v>0</v>
      </c>
    </row>
    <row r="121" spans="4:13" ht="12.75">
      <c r="D121" s="181"/>
      <c r="H121" s="189">
        <f t="shared" si="10"/>
        <v>119</v>
      </c>
      <c r="I121" s="190">
        <f t="shared" si="11"/>
        <v>0</v>
      </c>
      <c r="J121" s="190">
        <f t="shared" si="6"/>
        <v>0</v>
      </c>
      <c r="K121" s="190">
        <f t="shared" si="7"/>
        <v>0</v>
      </c>
      <c r="L121" s="190">
        <f t="shared" si="8"/>
        <v>0</v>
      </c>
      <c r="M121" s="190">
        <f t="shared" si="9"/>
        <v>0</v>
      </c>
    </row>
    <row r="122" spans="4:13" ht="12.75">
      <c r="D122" s="181"/>
      <c r="H122" s="211">
        <f t="shared" si="10"/>
        <v>120</v>
      </c>
      <c r="I122" s="212">
        <f t="shared" si="11"/>
        <v>0</v>
      </c>
      <c r="J122" s="212">
        <f t="shared" si="6"/>
        <v>0</v>
      </c>
      <c r="K122" s="212">
        <f t="shared" si="7"/>
        <v>0</v>
      </c>
      <c r="L122" s="212">
        <f t="shared" si="8"/>
        <v>0</v>
      </c>
      <c r="M122" s="212">
        <f t="shared" si="9"/>
        <v>0</v>
      </c>
    </row>
    <row r="123" ht="12.75">
      <c r="D123" s="181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0.7109375" style="175" customWidth="1"/>
    <col min="2" max="2" width="10.421875" style="175" customWidth="1"/>
    <col min="3" max="3" width="17.140625" style="175" bestFit="1" customWidth="1"/>
    <col min="4" max="4" width="15.28125" style="175" bestFit="1" customWidth="1"/>
    <col min="5" max="5" width="10.140625" style="175" customWidth="1"/>
    <col min="6" max="6" width="17.8515625" style="175" bestFit="1" customWidth="1"/>
    <col min="7" max="7" width="2.8515625" style="175" customWidth="1"/>
    <col min="8" max="8" width="5.140625" style="213" bestFit="1" customWidth="1"/>
    <col min="9" max="9" width="17.140625" style="180" bestFit="1" customWidth="1"/>
    <col min="10" max="10" width="14.421875" style="180" bestFit="1" customWidth="1"/>
    <col min="11" max="11" width="8.140625" style="180" customWidth="1"/>
    <col min="12" max="12" width="9.8515625" style="180" bestFit="1" customWidth="1"/>
    <col min="13" max="13" width="17.140625" style="180" bestFit="1" customWidth="1"/>
    <col min="14" max="14" width="10.7109375" style="180" customWidth="1"/>
    <col min="15" max="16384" width="11.421875" style="175" customWidth="1"/>
  </cols>
  <sheetData>
    <row r="1" spans="1:13" ht="12.75">
      <c r="A1" s="348" t="s">
        <v>165</v>
      </c>
      <c r="B1" s="349"/>
      <c r="C1" s="349"/>
      <c r="D1" s="349"/>
      <c r="E1" s="349"/>
      <c r="F1" s="350"/>
      <c r="H1" s="176" t="s">
        <v>166</v>
      </c>
      <c r="I1" s="177" t="s">
        <v>167</v>
      </c>
      <c r="J1" s="178" t="s">
        <v>168</v>
      </c>
      <c r="K1" s="178" t="s">
        <v>169</v>
      </c>
      <c r="L1" s="179" t="s">
        <v>170</v>
      </c>
      <c r="M1" s="178" t="s">
        <v>167</v>
      </c>
    </row>
    <row r="2" spans="4:13" ht="12.75">
      <c r="D2" s="181"/>
      <c r="H2" s="182"/>
      <c r="I2" s="183" t="s">
        <v>171</v>
      </c>
      <c r="J2" s="184"/>
      <c r="K2" s="184"/>
      <c r="L2" s="185" t="s">
        <v>172</v>
      </c>
      <c r="M2" s="250" t="s">
        <v>173</v>
      </c>
    </row>
    <row r="3" spans="1:13" ht="12.75">
      <c r="A3" s="186" t="s">
        <v>174</v>
      </c>
      <c r="B3" s="187">
        <f>'Plan de financement démarrage'!D9</f>
        <v>0</v>
      </c>
      <c r="C3" s="188"/>
      <c r="D3" s="214"/>
      <c r="H3" s="189">
        <v>1</v>
      </c>
      <c r="I3" s="190">
        <f>$B$3</f>
        <v>0</v>
      </c>
      <c r="J3" s="190">
        <f aca="true" t="shared" si="0" ref="J3:J34">IF(K3=0,0,L3-K3)</f>
        <v>0</v>
      </c>
      <c r="K3" s="190">
        <f aca="true" t="shared" si="1" ref="K3:K34">IF(AND(H3&gt;$B$7,H3&lt;=$B$9),ROUND((($B$5+$B$6)/12)*I3,3),0)</f>
        <v>0</v>
      </c>
      <c r="L3" s="248">
        <f aca="true" t="shared" si="2" ref="L3:L34">IF(AND(H3&gt;$B$7,H3&lt;=$B$9),$B$11,0)</f>
        <v>0</v>
      </c>
      <c r="M3" s="191">
        <f>I3-L3</f>
        <v>0</v>
      </c>
    </row>
    <row r="4" spans="1:13" ht="12.75">
      <c r="A4" s="186" t="s">
        <v>175</v>
      </c>
      <c r="B4" s="261">
        <v>3</v>
      </c>
      <c r="H4" s="189">
        <f aca="true" t="shared" si="3" ref="H4:H35">1+H3</f>
        <v>2</v>
      </c>
      <c r="I4" s="190">
        <f aca="true" t="shared" si="4" ref="I4:I35">IF(H4&gt;$B$9,0,M3)</f>
        <v>0</v>
      </c>
      <c r="J4" s="190">
        <f t="shared" si="0"/>
        <v>0</v>
      </c>
      <c r="K4" s="190">
        <f t="shared" si="1"/>
        <v>0</v>
      </c>
      <c r="L4" s="248">
        <f t="shared" si="2"/>
        <v>0</v>
      </c>
      <c r="M4" s="190">
        <f aca="true" t="shared" si="5" ref="M4:M38">I4-L4</f>
        <v>0</v>
      </c>
    </row>
    <row r="5" spans="1:13" ht="12.75">
      <c r="A5" s="186" t="s">
        <v>58</v>
      </c>
      <c r="B5" s="192">
        <v>0</v>
      </c>
      <c r="C5" s="193"/>
      <c r="H5" s="189">
        <f t="shared" si="3"/>
        <v>3</v>
      </c>
      <c r="I5" s="190">
        <f t="shared" si="4"/>
        <v>0</v>
      </c>
      <c r="J5" s="190">
        <f t="shared" si="0"/>
        <v>0</v>
      </c>
      <c r="K5" s="190">
        <f t="shared" si="1"/>
        <v>0</v>
      </c>
      <c r="L5" s="248">
        <f t="shared" si="2"/>
        <v>0</v>
      </c>
      <c r="M5" s="190">
        <f t="shared" si="5"/>
        <v>0</v>
      </c>
    </row>
    <row r="6" spans="1:13" ht="12.75">
      <c r="A6" s="194" t="s">
        <v>176</v>
      </c>
      <c r="B6" s="192">
        <v>0</v>
      </c>
      <c r="C6" s="193"/>
      <c r="H6" s="189">
        <f t="shared" si="3"/>
        <v>4</v>
      </c>
      <c r="I6" s="190">
        <f t="shared" si="4"/>
        <v>0</v>
      </c>
      <c r="J6" s="190">
        <f t="shared" si="0"/>
        <v>0</v>
      </c>
      <c r="K6" s="190">
        <f t="shared" si="1"/>
        <v>0</v>
      </c>
      <c r="L6" s="248">
        <f t="shared" si="2"/>
        <v>0</v>
      </c>
      <c r="M6" s="190">
        <f t="shared" si="5"/>
        <v>0</v>
      </c>
    </row>
    <row r="7" spans="1:13" ht="12.75">
      <c r="A7" s="195" t="s">
        <v>177</v>
      </c>
      <c r="B7" s="260"/>
      <c r="H7" s="189">
        <f t="shared" si="3"/>
        <v>5</v>
      </c>
      <c r="I7" s="190">
        <f t="shared" si="4"/>
        <v>0</v>
      </c>
      <c r="J7" s="190">
        <f t="shared" si="0"/>
        <v>0</v>
      </c>
      <c r="K7" s="190">
        <f t="shared" si="1"/>
        <v>0</v>
      </c>
      <c r="L7" s="248">
        <f t="shared" si="2"/>
        <v>0</v>
      </c>
      <c r="M7" s="190">
        <f t="shared" si="5"/>
        <v>0</v>
      </c>
    </row>
    <row r="8" spans="1:13" ht="12.75">
      <c r="A8" s="197" t="s">
        <v>178</v>
      </c>
      <c r="B8" s="196">
        <f>B4*12</f>
        <v>36</v>
      </c>
      <c r="C8" s="180"/>
      <c r="H8" s="189">
        <f t="shared" si="3"/>
        <v>6</v>
      </c>
      <c r="I8" s="190">
        <f t="shared" si="4"/>
        <v>0</v>
      </c>
      <c r="J8" s="190">
        <f t="shared" si="0"/>
        <v>0</v>
      </c>
      <c r="K8" s="190">
        <f t="shared" si="1"/>
        <v>0</v>
      </c>
      <c r="L8" s="248">
        <f t="shared" si="2"/>
        <v>0</v>
      </c>
      <c r="M8" s="190">
        <f t="shared" si="5"/>
        <v>0</v>
      </c>
    </row>
    <row r="9" spans="1:13" ht="12.75">
      <c r="A9" s="197" t="s">
        <v>179</v>
      </c>
      <c r="B9" s="196">
        <f>B8+B7</f>
        <v>36</v>
      </c>
      <c r="C9" s="180"/>
      <c r="D9" s="198"/>
      <c r="E9" s="199"/>
      <c r="H9" s="189">
        <f t="shared" si="3"/>
        <v>7</v>
      </c>
      <c r="I9" s="190">
        <f t="shared" si="4"/>
        <v>0</v>
      </c>
      <c r="J9" s="190">
        <f t="shared" si="0"/>
        <v>0</v>
      </c>
      <c r="K9" s="190">
        <f t="shared" si="1"/>
        <v>0</v>
      </c>
      <c r="L9" s="248">
        <f t="shared" si="2"/>
        <v>0</v>
      </c>
      <c r="M9" s="190">
        <f t="shared" si="5"/>
        <v>0</v>
      </c>
    </row>
    <row r="10" spans="1:13" ht="12.75">
      <c r="A10" s="197" t="s">
        <v>180</v>
      </c>
      <c r="B10" s="200">
        <f>B11*12</f>
        <v>0</v>
      </c>
      <c r="C10" s="199"/>
      <c r="E10" s="199"/>
      <c r="H10" s="189">
        <f t="shared" si="3"/>
        <v>8</v>
      </c>
      <c r="I10" s="190">
        <f t="shared" si="4"/>
        <v>0</v>
      </c>
      <c r="J10" s="190">
        <f t="shared" si="0"/>
        <v>0</v>
      </c>
      <c r="K10" s="190">
        <f t="shared" si="1"/>
        <v>0</v>
      </c>
      <c r="L10" s="248">
        <f t="shared" si="2"/>
        <v>0</v>
      </c>
      <c r="M10" s="190">
        <f t="shared" si="5"/>
        <v>0</v>
      </c>
    </row>
    <row r="11" spans="1:13" ht="12.75">
      <c r="A11" s="197" t="s">
        <v>181</v>
      </c>
      <c r="B11" s="200">
        <f>PMT(($B$5+$B$6)/12,$B$8,-$B$3)</f>
        <v>0</v>
      </c>
      <c r="C11" s="199"/>
      <c r="E11" s="199"/>
      <c r="H11" s="189">
        <f t="shared" si="3"/>
        <v>9</v>
      </c>
      <c r="I11" s="190">
        <f t="shared" si="4"/>
        <v>0</v>
      </c>
      <c r="J11" s="190">
        <f t="shared" si="0"/>
        <v>0</v>
      </c>
      <c r="K11" s="190">
        <f t="shared" si="1"/>
        <v>0</v>
      </c>
      <c r="L11" s="248">
        <f t="shared" si="2"/>
        <v>0</v>
      </c>
      <c r="M11" s="190">
        <f t="shared" si="5"/>
        <v>0</v>
      </c>
    </row>
    <row r="12" spans="1:13" ht="12.75">
      <c r="A12" s="195" t="s">
        <v>182</v>
      </c>
      <c r="B12" s="200">
        <f>(B10*B4)-B3</f>
        <v>0</v>
      </c>
      <c r="C12" s="201"/>
      <c r="D12" s="201"/>
      <c r="E12" s="201"/>
      <c r="F12" s="201"/>
      <c r="H12" s="189">
        <f t="shared" si="3"/>
        <v>10</v>
      </c>
      <c r="I12" s="190">
        <f t="shared" si="4"/>
        <v>0</v>
      </c>
      <c r="J12" s="190">
        <f t="shared" si="0"/>
        <v>0</v>
      </c>
      <c r="K12" s="190">
        <f t="shared" si="1"/>
        <v>0</v>
      </c>
      <c r="L12" s="248">
        <f t="shared" si="2"/>
        <v>0</v>
      </c>
      <c r="M12" s="190">
        <f t="shared" si="5"/>
        <v>0</v>
      </c>
    </row>
    <row r="13" spans="2:13" ht="12.75">
      <c r="B13" s="201"/>
      <c r="C13" s="201"/>
      <c r="D13" s="201"/>
      <c r="E13" s="201"/>
      <c r="F13" s="201"/>
      <c r="H13" s="189">
        <f t="shared" si="3"/>
        <v>11</v>
      </c>
      <c r="I13" s="190">
        <f t="shared" si="4"/>
        <v>0</v>
      </c>
      <c r="J13" s="190">
        <f t="shared" si="0"/>
        <v>0</v>
      </c>
      <c r="K13" s="190">
        <f t="shared" si="1"/>
        <v>0</v>
      </c>
      <c r="L13" s="248">
        <f t="shared" si="2"/>
        <v>0</v>
      </c>
      <c r="M13" s="190">
        <f t="shared" si="5"/>
        <v>0</v>
      </c>
    </row>
    <row r="14" spans="2:13" ht="12.75">
      <c r="B14" s="202" t="s">
        <v>183</v>
      </c>
      <c r="C14" s="202" t="s">
        <v>167</v>
      </c>
      <c r="D14" s="202" t="s">
        <v>184</v>
      </c>
      <c r="E14" s="203" t="s">
        <v>169</v>
      </c>
      <c r="F14" s="202" t="s">
        <v>185</v>
      </c>
      <c r="H14" s="189">
        <f t="shared" si="3"/>
        <v>12</v>
      </c>
      <c r="I14" s="190">
        <f t="shared" si="4"/>
        <v>0</v>
      </c>
      <c r="J14" s="190">
        <f t="shared" si="0"/>
        <v>0</v>
      </c>
      <c r="K14" s="190">
        <f t="shared" si="1"/>
        <v>0</v>
      </c>
      <c r="L14" s="248">
        <f t="shared" si="2"/>
        <v>0</v>
      </c>
      <c r="M14" s="190">
        <f t="shared" si="5"/>
        <v>0</v>
      </c>
    </row>
    <row r="15" spans="2:13" ht="12.75">
      <c r="B15" s="204">
        <v>0</v>
      </c>
      <c r="C15" s="205">
        <f>B3</f>
        <v>0</v>
      </c>
      <c r="D15" s="206">
        <v>0</v>
      </c>
      <c r="E15" s="206">
        <v>0</v>
      </c>
      <c r="F15" s="206">
        <v>0</v>
      </c>
      <c r="H15" s="189">
        <f t="shared" si="3"/>
        <v>13</v>
      </c>
      <c r="I15" s="190">
        <f t="shared" si="4"/>
        <v>0</v>
      </c>
      <c r="J15" s="190">
        <f t="shared" si="0"/>
        <v>0</v>
      </c>
      <c r="K15" s="190">
        <f t="shared" si="1"/>
        <v>0</v>
      </c>
      <c r="L15" s="248">
        <f t="shared" si="2"/>
        <v>0</v>
      </c>
      <c r="M15" s="190">
        <f t="shared" si="5"/>
        <v>0</v>
      </c>
    </row>
    <row r="16" spans="2:13" ht="12.75">
      <c r="B16" s="204">
        <f>1+B15</f>
        <v>1</v>
      </c>
      <c r="C16" s="205">
        <f>I15</f>
        <v>0</v>
      </c>
      <c r="D16" s="206">
        <f>SUM(J3:J14)</f>
        <v>0</v>
      </c>
      <c r="E16" s="206">
        <f>SUM(K3:K14)</f>
        <v>0</v>
      </c>
      <c r="F16" s="206">
        <f>SUM(L3:L14)</f>
        <v>0</v>
      </c>
      <c r="H16" s="189">
        <f t="shared" si="3"/>
        <v>14</v>
      </c>
      <c r="I16" s="190">
        <f t="shared" si="4"/>
        <v>0</v>
      </c>
      <c r="J16" s="190">
        <f t="shared" si="0"/>
        <v>0</v>
      </c>
      <c r="K16" s="190">
        <f t="shared" si="1"/>
        <v>0</v>
      </c>
      <c r="L16" s="248">
        <f t="shared" si="2"/>
        <v>0</v>
      </c>
      <c r="M16" s="190">
        <f t="shared" si="5"/>
        <v>0</v>
      </c>
    </row>
    <row r="17" spans="2:14" ht="12.75">
      <c r="B17" s="204">
        <f>1+B16</f>
        <v>2</v>
      </c>
      <c r="C17" s="205">
        <f>I27</f>
        <v>0</v>
      </c>
      <c r="D17" s="206">
        <f>SUM(J15:J26)</f>
        <v>0</v>
      </c>
      <c r="E17" s="206">
        <f>SUM(K15:K26)</f>
        <v>0</v>
      </c>
      <c r="F17" s="206">
        <f>SUM(L15:L26)</f>
        <v>0</v>
      </c>
      <c r="H17" s="189">
        <f t="shared" si="3"/>
        <v>15</v>
      </c>
      <c r="I17" s="190">
        <f t="shared" si="4"/>
        <v>0</v>
      </c>
      <c r="J17" s="190">
        <f t="shared" si="0"/>
        <v>0</v>
      </c>
      <c r="K17" s="190">
        <f t="shared" si="1"/>
        <v>0</v>
      </c>
      <c r="L17" s="248">
        <f t="shared" si="2"/>
        <v>0</v>
      </c>
      <c r="M17" s="190">
        <f t="shared" si="5"/>
        <v>0</v>
      </c>
      <c r="N17" s="207"/>
    </row>
    <row r="18" spans="2:13" ht="12.75">
      <c r="B18" s="204">
        <f>1+B17</f>
        <v>3</v>
      </c>
      <c r="C18" s="205">
        <f>I39</f>
        <v>0</v>
      </c>
      <c r="D18" s="206">
        <f>SUM(J27:J38)</f>
        <v>0</v>
      </c>
      <c r="E18" s="206">
        <f>SUM(K27:K38)</f>
        <v>0</v>
      </c>
      <c r="F18" s="206">
        <f>SUM(L27:L38)</f>
        <v>0</v>
      </c>
      <c r="H18" s="189">
        <f t="shared" si="3"/>
        <v>16</v>
      </c>
      <c r="I18" s="190">
        <f t="shared" si="4"/>
        <v>0</v>
      </c>
      <c r="J18" s="190">
        <f t="shared" si="0"/>
        <v>0</v>
      </c>
      <c r="K18" s="190">
        <f t="shared" si="1"/>
        <v>0</v>
      </c>
      <c r="L18" s="248">
        <f t="shared" si="2"/>
        <v>0</v>
      </c>
      <c r="M18" s="190">
        <f t="shared" si="5"/>
        <v>0</v>
      </c>
    </row>
    <row r="19" spans="2:13" ht="12.75">
      <c r="B19" s="245"/>
      <c r="C19" s="246"/>
      <c r="D19" s="246"/>
      <c r="E19" s="246"/>
      <c r="F19" s="246"/>
      <c r="H19" s="189">
        <f t="shared" si="3"/>
        <v>17</v>
      </c>
      <c r="I19" s="190">
        <f t="shared" si="4"/>
        <v>0</v>
      </c>
      <c r="J19" s="190">
        <f t="shared" si="0"/>
        <v>0</v>
      </c>
      <c r="K19" s="190">
        <f t="shared" si="1"/>
        <v>0</v>
      </c>
      <c r="L19" s="248">
        <f t="shared" si="2"/>
        <v>0</v>
      </c>
      <c r="M19" s="190">
        <f t="shared" si="5"/>
        <v>0</v>
      </c>
    </row>
    <row r="20" spans="2:13" ht="12.75">
      <c r="B20" s="244"/>
      <c r="C20" s="243"/>
      <c r="D20" s="243"/>
      <c r="E20" s="243"/>
      <c r="F20" s="243"/>
      <c r="H20" s="189">
        <f t="shared" si="3"/>
        <v>18</v>
      </c>
      <c r="I20" s="190">
        <f t="shared" si="4"/>
        <v>0</v>
      </c>
      <c r="J20" s="190">
        <f t="shared" si="0"/>
        <v>0</v>
      </c>
      <c r="K20" s="190">
        <f t="shared" si="1"/>
        <v>0</v>
      </c>
      <c r="L20" s="248">
        <f t="shared" si="2"/>
        <v>0</v>
      </c>
      <c r="M20" s="190">
        <f t="shared" si="5"/>
        <v>0</v>
      </c>
    </row>
    <row r="21" spans="2:13" ht="12.75">
      <c r="B21" s="244"/>
      <c r="C21" s="243"/>
      <c r="D21" s="243"/>
      <c r="E21" s="243"/>
      <c r="F21" s="243"/>
      <c r="H21" s="189">
        <f t="shared" si="3"/>
        <v>19</v>
      </c>
      <c r="I21" s="190">
        <f t="shared" si="4"/>
        <v>0</v>
      </c>
      <c r="J21" s="190">
        <f t="shared" si="0"/>
        <v>0</v>
      </c>
      <c r="K21" s="190">
        <f t="shared" si="1"/>
        <v>0</v>
      </c>
      <c r="L21" s="248">
        <f t="shared" si="2"/>
        <v>0</v>
      </c>
      <c r="M21" s="190">
        <f t="shared" si="5"/>
        <v>0</v>
      </c>
    </row>
    <row r="22" spans="2:13" ht="12.75">
      <c r="B22" s="244"/>
      <c r="C22" s="243"/>
      <c r="D22" s="243"/>
      <c r="E22" s="243"/>
      <c r="F22" s="243"/>
      <c r="H22" s="189">
        <f t="shared" si="3"/>
        <v>20</v>
      </c>
      <c r="I22" s="190">
        <f t="shared" si="4"/>
        <v>0</v>
      </c>
      <c r="J22" s="190">
        <f t="shared" si="0"/>
        <v>0</v>
      </c>
      <c r="K22" s="190">
        <f t="shared" si="1"/>
        <v>0</v>
      </c>
      <c r="L22" s="248">
        <f t="shared" si="2"/>
        <v>0</v>
      </c>
      <c r="M22" s="190">
        <f t="shared" si="5"/>
        <v>0</v>
      </c>
    </row>
    <row r="23" spans="2:13" ht="12.75">
      <c r="B23" s="244"/>
      <c r="C23" s="243"/>
      <c r="D23" s="243"/>
      <c r="E23" s="243"/>
      <c r="F23" s="243"/>
      <c r="H23" s="189">
        <f t="shared" si="3"/>
        <v>21</v>
      </c>
      <c r="I23" s="190">
        <f t="shared" si="4"/>
        <v>0</v>
      </c>
      <c r="J23" s="190">
        <f t="shared" si="0"/>
        <v>0</v>
      </c>
      <c r="K23" s="190">
        <f t="shared" si="1"/>
        <v>0</v>
      </c>
      <c r="L23" s="248">
        <f t="shared" si="2"/>
        <v>0</v>
      </c>
      <c r="M23" s="190">
        <f t="shared" si="5"/>
        <v>0</v>
      </c>
    </row>
    <row r="24" spans="2:13" ht="12.75">
      <c r="B24" s="244"/>
      <c r="C24" s="243"/>
      <c r="D24" s="243"/>
      <c r="E24" s="243"/>
      <c r="F24" s="243"/>
      <c r="H24" s="189">
        <f t="shared" si="3"/>
        <v>22</v>
      </c>
      <c r="I24" s="190">
        <f t="shared" si="4"/>
        <v>0</v>
      </c>
      <c r="J24" s="190">
        <f t="shared" si="0"/>
        <v>0</v>
      </c>
      <c r="K24" s="190">
        <f t="shared" si="1"/>
        <v>0</v>
      </c>
      <c r="L24" s="248">
        <f t="shared" si="2"/>
        <v>0</v>
      </c>
      <c r="M24" s="190">
        <f t="shared" si="5"/>
        <v>0</v>
      </c>
    </row>
    <row r="25" spans="2:13" ht="12.75">
      <c r="B25" s="244"/>
      <c r="C25" s="243"/>
      <c r="D25" s="243"/>
      <c r="E25" s="243"/>
      <c r="F25" s="243"/>
      <c r="H25" s="189">
        <f t="shared" si="3"/>
        <v>23</v>
      </c>
      <c r="I25" s="190">
        <f t="shared" si="4"/>
        <v>0</v>
      </c>
      <c r="J25" s="190">
        <f t="shared" si="0"/>
        <v>0</v>
      </c>
      <c r="K25" s="190">
        <f t="shared" si="1"/>
        <v>0</v>
      </c>
      <c r="L25" s="248">
        <f t="shared" si="2"/>
        <v>0</v>
      </c>
      <c r="M25" s="190">
        <f t="shared" si="5"/>
        <v>0</v>
      </c>
    </row>
    <row r="26" spans="4:13" ht="12.75">
      <c r="D26" s="181"/>
      <c r="H26" s="189">
        <f t="shared" si="3"/>
        <v>24</v>
      </c>
      <c r="I26" s="190">
        <f t="shared" si="4"/>
        <v>0</v>
      </c>
      <c r="J26" s="190">
        <f t="shared" si="0"/>
        <v>0</v>
      </c>
      <c r="K26" s="190">
        <f t="shared" si="1"/>
        <v>0</v>
      </c>
      <c r="L26" s="248">
        <f t="shared" si="2"/>
        <v>0</v>
      </c>
      <c r="M26" s="190">
        <f t="shared" si="5"/>
        <v>0</v>
      </c>
    </row>
    <row r="27" spans="4:13" ht="12.75">
      <c r="D27" s="181"/>
      <c r="H27" s="189">
        <f t="shared" si="3"/>
        <v>25</v>
      </c>
      <c r="I27" s="190">
        <f t="shared" si="4"/>
        <v>0</v>
      </c>
      <c r="J27" s="190">
        <f t="shared" si="0"/>
        <v>0</v>
      </c>
      <c r="K27" s="190">
        <f t="shared" si="1"/>
        <v>0</v>
      </c>
      <c r="L27" s="248">
        <f t="shared" si="2"/>
        <v>0</v>
      </c>
      <c r="M27" s="190">
        <f t="shared" si="5"/>
        <v>0</v>
      </c>
    </row>
    <row r="28" spans="4:13" ht="12.75">
      <c r="D28" s="181"/>
      <c r="H28" s="189">
        <f t="shared" si="3"/>
        <v>26</v>
      </c>
      <c r="I28" s="190">
        <f t="shared" si="4"/>
        <v>0</v>
      </c>
      <c r="J28" s="190">
        <f t="shared" si="0"/>
        <v>0</v>
      </c>
      <c r="K28" s="190">
        <f t="shared" si="1"/>
        <v>0</v>
      </c>
      <c r="L28" s="248">
        <f t="shared" si="2"/>
        <v>0</v>
      </c>
      <c r="M28" s="190">
        <f t="shared" si="5"/>
        <v>0</v>
      </c>
    </row>
    <row r="29" spans="4:13" ht="12.75">
      <c r="D29" s="181"/>
      <c r="H29" s="189">
        <f t="shared" si="3"/>
        <v>27</v>
      </c>
      <c r="I29" s="190">
        <f t="shared" si="4"/>
        <v>0</v>
      </c>
      <c r="J29" s="190">
        <f t="shared" si="0"/>
        <v>0</v>
      </c>
      <c r="K29" s="190">
        <f t="shared" si="1"/>
        <v>0</v>
      </c>
      <c r="L29" s="248">
        <f t="shared" si="2"/>
        <v>0</v>
      </c>
      <c r="M29" s="190">
        <f t="shared" si="5"/>
        <v>0</v>
      </c>
    </row>
    <row r="30" spans="4:13" ht="12.75">
      <c r="D30" s="181"/>
      <c r="H30" s="189">
        <f t="shared" si="3"/>
        <v>28</v>
      </c>
      <c r="I30" s="190">
        <f t="shared" si="4"/>
        <v>0</v>
      </c>
      <c r="J30" s="190">
        <f t="shared" si="0"/>
        <v>0</v>
      </c>
      <c r="K30" s="190">
        <f t="shared" si="1"/>
        <v>0</v>
      </c>
      <c r="L30" s="248">
        <f t="shared" si="2"/>
        <v>0</v>
      </c>
      <c r="M30" s="190">
        <f t="shared" si="5"/>
        <v>0</v>
      </c>
    </row>
    <row r="31" spans="4:13" ht="12.75">
      <c r="D31" s="181"/>
      <c r="H31" s="189">
        <f t="shared" si="3"/>
        <v>29</v>
      </c>
      <c r="I31" s="190">
        <f t="shared" si="4"/>
        <v>0</v>
      </c>
      <c r="J31" s="190">
        <f t="shared" si="0"/>
        <v>0</v>
      </c>
      <c r="K31" s="190">
        <f t="shared" si="1"/>
        <v>0</v>
      </c>
      <c r="L31" s="248">
        <f t="shared" si="2"/>
        <v>0</v>
      </c>
      <c r="M31" s="190">
        <f t="shared" si="5"/>
        <v>0</v>
      </c>
    </row>
    <row r="32" spans="4:13" ht="12.75">
      <c r="D32" s="181"/>
      <c r="H32" s="189">
        <f t="shared" si="3"/>
        <v>30</v>
      </c>
      <c r="I32" s="190">
        <f t="shared" si="4"/>
        <v>0</v>
      </c>
      <c r="J32" s="190">
        <f t="shared" si="0"/>
        <v>0</v>
      </c>
      <c r="K32" s="190">
        <f t="shared" si="1"/>
        <v>0</v>
      </c>
      <c r="L32" s="248">
        <f t="shared" si="2"/>
        <v>0</v>
      </c>
      <c r="M32" s="190">
        <f t="shared" si="5"/>
        <v>0</v>
      </c>
    </row>
    <row r="33" spans="4:13" ht="12.75">
      <c r="D33" s="181"/>
      <c r="H33" s="189">
        <f t="shared" si="3"/>
        <v>31</v>
      </c>
      <c r="I33" s="190">
        <f t="shared" si="4"/>
        <v>0</v>
      </c>
      <c r="J33" s="190">
        <f t="shared" si="0"/>
        <v>0</v>
      </c>
      <c r="K33" s="190">
        <f t="shared" si="1"/>
        <v>0</v>
      </c>
      <c r="L33" s="248">
        <f t="shared" si="2"/>
        <v>0</v>
      </c>
      <c r="M33" s="190">
        <f t="shared" si="5"/>
        <v>0</v>
      </c>
    </row>
    <row r="34" spans="4:13" ht="12.75">
      <c r="D34" s="181"/>
      <c r="H34" s="189">
        <f t="shared" si="3"/>
        <v>32</v>
      </c>
      <c r="I34" s="190">
        <f t="shared" si="4"/>
        <v>0</v>
      </c>
      <c r="J34" s="190">
        <f t="shared" si="0"/>
        <v>0</v>
      </c>
      <c r="K34" s="190">
        <f t="shared" si="1"/>
        <v>0</v>
      </c>
      <c r="L34" s="248">
        <f t="shared" si="2"/>
        <v>0</v>
      </c>
      <c r="M34" s="190">
        <f t="shared" si="5"/>
        <v>0</v>
      </c>
    </row>
    <row r="35" spans="4:13" ht="12.75">
      <c r="D35" s="181"/>
      <c r="H35" s="189">
        <f t="shared" si="3"/>
        <v>33</v>
      </c>
      <c r="I35" s="190">
        <f t="shared" si="4"/>
        <v>0</v>
      </c>
      <c r="J35" s="190">
        <f>IF(K35=0,0,L35-K35)</f>
        <v>0</v>
      </c>
      <c r="K35" s="190">
        <f>IF(AND(H35&gt;$B$7,H35&lt;=$B$9),ROUND((($B$5+$B$6)/12)*I35,3),0)</f>
        <v>0</v>
      </c>
      <c r="L35" s="248">
        <f>IF(AND(H35&gt;$B$7,H35&lt;=$B$9),$B$11,0)</f>
        <v>0</v>
      </c>
      <c r="M35" s="190">
        <f t="shared" si="5"/>
        <v>0</v>
      </c>
    </row>
    <row r="36" spans="4:13" ht="12.75">
      <c r="D36" s="181"/>
      <c r="H36" s="189">
        <f>1+H35</f>
        <v>34</v>
      </c>
      <c r="I36" s="190">
        <f>IF(H36&gt;$B$9,0,M35)</f>
        <v>0</v>
      </c>
      <c r="J36" s="190">
        <f>IF(K36=0,0,L36-K36)</f>
        <v>0</v>
      </c>
      <c r="K36" s="190">
        <f>IF(AND(H36&gt;$B$7,H36&lt;=$B$9),ROUND((($B$5+$B$6)/12)*I36,3),0)</f>
        <v>0</v>
      </c>
      <c r="L36" s="248">
        <f>IF(AND(H36&gt;$B$7,H36&lt;=$B$9),$B$11,0)</f>
        <v>0</v>
      </c>
      <c r="M36" s="190">
        <f t="shared" si="5"/>
        <v>0</v>
      </c>
    </row>
    <row r="37" spans="4:13" ht="12.75">
      <c r="D37" s="181"/>
      <c r="H37" s="189">
        <f>1+H36</f>
        <v>35</v>
      </c>
      <c r="I37" s="190">
        <f>IF(H37&gt;$B$9,0,M36)</f>
        <v>0</v>
      </c>
      <c r="J37" s="190">
        <f>IF(K37=0,0,L37-K37)</f>
        <v>0</v>
      </c>
      <c r="K37" s="190">
        <f>IF(AND(H37&gt;$B$7,H37&lt;=$B$9),ROUND((($B$5+$B$6)/12)*I37,3),0)</f>
        <v>0</v>
      </c>
      <c r="L37" s="248">
        <f>IF(AND(H37&gt;$B$7,H37&lt;=$B$9),$B$11,0)</f>
        <v>0</v>
      </c>
      <c r="M37" s="190">
        <f t="shared" si="5"/>
        <v>0</v>
      </c>
    </row>
    <row r="38" spans="4:13" ht="12.75">
      <c r="D38" s="181"/>
      <c r="H38" s="211">
        <f>1+H37</f>
        <v>36</v>
      </c>
      <c r="I38" s="212">
        <f>IF(H38&gt;$B$9,0,M37)</f>
        <v>0</v>
      </c>
      <c r="J38" s="212">
        <f>IF(K38=0,0,L38-K38)</f>
        <v>0</v>
      </c>
      <c r="K38" s="212">
        <f>IF(AND(H38&gt;$B$7,H38&lt;=$B$9),ROUND((($B$5+$B$6)/12)*I38,3),0)</f>
        <v>0</v>
      </c>
      <c r="L38" s="249">
        <f>IF(AND(H38&gt;$B$7,H38&lt;=$B$9),$B$11,0)</f>
        <v>0</v>
      </c>
      <c r="M38" s="212">
        <f t="shared" si="5"/>
        <v>0</v>
      </c>
    </row>
    <row r="39" spans="4:13" ht="12.75">
      <c r="D39" s="181"/>
      <c r="H39" s="242"/>
      <c r="I39" s="243"/>
      <c r="J39" s="243"/>
      <c r="K39" s="243"/>
      <c r="L39" s="243"/>
      <c r="M39" s="243"/>
    </row>
    <row r="40" spans="4:13" ht="12.75">
      <c r="D40" s="181"/>
      <c r="H40" s="242"/>
      <c r="I40" s="243"/>
      <c r="J40" s="243"/>
      <c r="K40" s="243"/>
      <c r="L40" s="243"/>
      <c r="M40" s="243"/>
    </row>
    <row r="41" spans="4:13" ht="12.75">
      <c r="D41" s="181"/>
      <c r="H41" s="242"/>
      <c r="I41" s="243"/>
      <c r="J41" s="243"/>
      <c r="K41" s="243"/>
      <c r="L41" s="243"/>
      <c r="M41" s="243"/>
    </row>
    <row r="42" spans="4:13" ht="12.75">
      <c r="D42" s="181"/>
      <c r="H42" s="242"/>
      <c r="I42" s="243"/>
      <c r="J42" s="243"/>
      <c r="K42" s="243"/>
      <c r="L42" s="243"/>
      <c r="M42" s="243"/>
    </row>
    <row r="43" spans="4:13" ht="12.75">
      <c r="D43" s="181"/>
      <c r="H43" s="242"/>
      <c r="I43" s="243"/>
      <c r="J43" s="243"/>
      <c r="K43" s="243"/>
      <c r="L43" s="243"/>
      <c r="M43" s="243"/>
    </row>
    <row r="44" spans="4:13" ht="12.75">
      <c r="D44" s="181"/>
      <c r="H44" s="242"/>
      <c r="I44" s="243"/>
      <c r="J44" s="243"/>
      <c r="K44" s="243"/>
      <c r="L44" s="243"/>
      <c r="M44" s="243"/>
    </row>
    <row r="45" spans="4:13" ht="12.75">
      <c r="D45" s="181"/>
      <c r="H45" s="242"/>
      <c r="I45" s="243"/>
      <c r="J45" s="243"/>
      <c r="K45" s="243"/>
      <c r="L45" s="243"/>
      <c r="M45" s="243"/>
    </row>
    <row r="46" spans="4:13" ht="12.75">
      <c r="D46" s="181"/>
      <c r="H46" s="242"/>
      <c r="I46" s="243"/>
      <c r="J46" s="243"/>
      <c r="K46" s="243"/>
      <c r="L46" s="243"/>
      <c r="M46" s="243"/>
    </row>
    <row r="47" spans="4:13" ht="12.75">
      <c r="D47" s="181"/>
      <c r="H47" s="242"/>
      <c r="I47" s="243"/>
      <c r="J47" s="243"/>
      <c r="K47" s="243"/>
      <c r="L47" s="243"/>
      <c r="M47" s="243"/>
    </row>
    <row r="48" spans="4:13" ht="12.75">
      <c r="D48" s="181"/>
      <c r="H48" s="242"/>
      <c r="I48" s="243"/>
      <c r="J48" s="243"/>
      <c r="K48" s="243"/>
      <c r="L48" s="243"/>
      <c r="M48" s="243"/>
    </row>
    <row r="49" spans="4:13" ht="12.75">
      <c r="D49" s="181"/>
      <c r="H49" s="242"/>
      <c r="I49" s="243"/>
      <c r="J49" s="243"/>
      <c r="K49" s="243"/>
      <c r="L49" s="243"/>
      <c r="M49" s="243"/>
    </row>
    <row r="50" spans="4:13" ht="12.75">
      <c r="D50" s="181"/>
      <c r="H50" s="242"/>
      <c r="I50" s="243"/>
      <c r="J50" s="243"/>
      <c r="K50" s="243"/>
      <c r="L50" s="243"/>
      <c r="M50" s="243"/>
    </row>
    <row r="51" spans="4:13" ht="12.75">
      <c r="D51" s="181"/>
      <c r="H51" s="242"/>
      <c r="I51" s="243"/>
      <c r="J51" s="243"/>
      <c r="K51" s="243"/>
      <c r="L51" s="243"/>
      <c r="M51" s="243"/>
    </row>
    <row r="52" spans="4:13" ht="12.75">
      <c r="D52" s="181"/>
      <c r="H52" s="242"/>
      <c r="I52" s="243"/>
      <c r="J52" s="243"/>
      <c r="K52" s="243"/>
      <c r="L52" s="243"/>
      <c r="M52" s="243"/>
    </row>
    <row r="53" spans="4:13" ht="12.75">
      <c r="D53" s="181"/>
      <c r="H53" s="242"/>
      <c r="I53" s="243"/>
      <c r="J53" s="243"/>
      <c r="K53" s="243"/>
      <c r="L53" s="243"/>
      <c r="M53" s="243"/>
    </row>
    <row r="54" spans="4:13" ht="12.75">
      <c r="D54" s="181"/>
      <c r="H54" s="242"/>
      <c r="I54" s="243"/>
      <c r="J54" s="243"/>
      <c r="K54" s="243"/>
      <c r="L54" s="243"/>
      <c r="M54" s="243"/>
    </row>
    <row r="55" spans="4:13" ht="12.75">
      <c r="D55" s="181"/>
      <c r="H55" s="242"/>
      <c r="I55" s="243"/>
      <c r="J55" s="243"/>
      <c r="K55" s="243"/>
      <c r="L55" s="243"/>
      <c r="M55" s="243"/>
    </row>
    <row r="56" spans="4:13" ht="12.75">
      <c r="D56" s="181"/>
      <c r="H56" s="242"/>
      <c r="I56" s="243"/>
      <c r="J56" s="243"/>
      <c r="K56" s="243"/>
      <c r="L56" s="243"/>
      <c r="M56" s="243"/>
    </row>
    <row r="57" spans="4:13" ht="12.75">
      <c r="D57" s="181"/>
      <c r="H57" s="242"/>
      <c r="I57" s="243"/>
      <c r="J57" s="243"/>
      <c r="K57" s="243"/>
      <c r="L57" s="243"/>
      <c r="M57" s="243"/>
    </row>
    <row r="58" spans="4:13" ht="12.75">
      <c r="D58" s="181"/>
      <c r="H58" s="242"/>
      <c r="I58" s="243"/>
      <c r="J58" s="243"/>
      <c r="K58" s="243"/>
      <c r="L58" s="243"/>
      <c r="M58" s="243"/>
    </row>
    <row r="59" spans="4:13" ht="12.75">
      <c r="D59" s="181"/>
      <c r="H59" s="242"/>
      <c r="I59" s="243"/>
      <c r="J59" s="243"/>
      <c r="K59" s="243"/>
      <c r="L59" s="243"/>
      <c r="M59" s="243"/>
    </row>
    <row r="60" spans="4:13" ht="12.75">
      <c r="D60" s="181"/>
      <c r="H60" s="242"/>
      <c r="I60" s="243"/>
      <c r="J60" s="243"/>
      <c r="K60" s="243"/>
      <c r="L60" s="243"/>
      <c r="M60" s="243"/>
    </row>
    <row r="61" spans="4:13" ht="12.75">
      <c r="D61" s="181"/>
      <c r="H61" s="242"/>
      <c r="I61" s="243"/>
      <c r="J61" s="243"/>
      <c r="K61" s="243"/>
      <c r="L61" s="243"/>
      <c r="M61" s="243"/>
    </row>
    <row r="62" spans="4:13" ht="12.75">
      <c r="D62" s="181"/>
      <c r="H62" s="242"/>
      <c r="I62" s="243"/>
      <c r="J62" s="243"/>
      <c r="K62" s="243"/>
      <c r="L62" s="243"/>
      <c r="M62" s="243"/>
    </row>
    <row r="63" spans="4:13" ht="12.75">
      <c r="D63" s="181"/>
      <c r="H63" s="242"/>
      <c r="I63" s="243"/>
      <c r="J63" s="243"/>
      <c r="K63" s="243"/>
      <c r="L63" s="243"/>
      <c r="M63" s="243"/>
    </row>
    <row r="64" spans="4:13" ht="12.75">
      <c r="D64" s="181"/>
      <c r="H64" s="242"/>
      <c r="I64" s="243"/>
      <c r="J64" s="243"/>
      <c r="K64" s="243"/>
      <c r="L64" s="243"/>
      <c r="M64" s="243"/>
    </row>
    <row r="65" spans="4:13" ht="12.75">
      <c r="D65" s="181"/>
      <c r="H65" s="242"/>
      <c r="I65" s="243"/>
      <c r="J65" s="243"/>
      <c r="K65" s="243"/>
      <c r="L65" s="243"/>
      <c r="M65" s="243"/>
    </row>
    <row r="66" spans="4:13" ht="12.75">
      <c r="D66" s="181"/>
      <c r="H66" s="242"/>
      <c r="I66" s="243"/>
      <c r="J66" s="243"/>
      <c r="K66" s="243"/>
      <c r="L66" s="243"/>
      <c r="M66" s="243"/>
    </row>
    <row r="67" spans="4:13" ht="12.75">
      <c r="D67" s="181"/>
      <c r="H67" s="242"/>
      <c r="I67" s="243"/>
      <c r="J67" s="243"/>
      <c r="K67" s="243"/>
      <c r="L67" s="243"/>
      <c r="M67" s="243"/>
    </row>
    <row r="68" spans="4:13" ht="12.75">
      <c r="D68" s="181"/>
      <c r="H68" s="242"/>
      <c r="I68" s="243"/>
      <c r="J68" s="243"/>
      <c r="K68" s="243"/>
      <c r="L68" s="243"/>
      <c r="M68" s="243"/>
    </row>
    <row r="69" spans="4:13" ht="12.75">
      <c r="D69" s="181"/>
      <c r="H69" s="242"/>
      <c r="I69" s="243"/>
      <c r="J69" s="243"/>
      <c r="K69" s="243"/>
      <c r="L69" s="243"/>
      <c r="M69" s="243"/>
    </row>
    <row r="70" spans="4:13" ht="12.75">
      <c r="D70" s="181"/>
      <c r="H70" s="242"/>
      <c r="I70" s="243"/>
      <c r="J70" s="243"/>
      <c r="K70" s="243"/>
      <c r="L70" s="243"/>
      <c r="M70" s="243"/>
    </row>
    <row r="71" spans="4:13" ht="12.75">
      <c r="D71" s="181"/>
      <c r="H71" s="242"/>
      <c r="I71" s="243"/>
      <c r="J71" s="243"/>
      <c r="K71" s="243"/>
      <c r="L71" s="243"/>
      <c r="M71" s="243"/>
    </row>
    <row r="72" spans="4:13" ht="12.75">
      <c r="D72" s="181"/>
      <c r="H72" s="242"/>
      <c r="I72" s="243"/>
      <c r="J72" s="243"/>
      <c r="K72" s="243"/>
      <c r="L72" s="243"/>
      <c r="M72" s="243"/>
    </row>
    <row r="73" spans="4:13" ht="12.75">
      <c r="D73" s="181"/>
      <c r="H73" s="242"/>
      <c r="I73" s="243"/>
      <c r="J73" s="243"/>
      <c r="K73" s="243"/>
      <c r="L73" s="243"/>
      <c r="M73" s="243"/>
    </row>
    <row r="74" spans="4:13" ht="12.75">
      <c r="D74" s="181"/>
      <c r="H74" s="242"/>
      <c r="I74" s="243"/>
      <c r="J74" s="243"/>
      <c r="K74" s="243"/>
      <c r="L74" s="243"/>
      <c r="M74" s="243"/>
    </row>
    <row r="75" spans="4:13" ht="12.75">
      <c r="D75" s="181"/>
      <c r="H75" s="242"/>
      <c r="I75" s="243"/>
      <c r="J75" s="243"/>
      <c r="K75" s="243"/>
      <c r="L75" s="243"/>
      <c r="M75" s="243"/>
    </row>
    <row r="76" spans="4:13" ht="12.75">
      <c r="D76" s="181"/>
      <c r="H76" s="242"/>
      <c r="I76" s="243"/>
      <c r="J76" s="243"/>
      <c r="K76" s="243"/>
      <c r="L76" s="243"/>
      <c r="M76" s="243"/>
    </row>
    <row r="77" spans="4:13" ht="12.75">
      <c r="D77" s="181"/>
      <c r="H77" s="242"/>
      <c r="I77" s="243"/>
      <c r="J77" s="243"/>
      <c r="K77" s="243"/>
      <c r="L77" s="243"/>
      <c r="M77" s="243"/>
    </row>
    <row r="78" spans="4:13" ht="12.75">
      <c r="D78" s="181"/>
      <c r="H78" s="242"/>
      <c r="I78" s="243"/>
      <c r="J78" s="243"/>
      <c r="K78" s="243"/>
      <c r="L78" s="243"/>
      <c r="M78" s="243"/>
    </row>
    <row r="79" spans="4:13" ht="12.75">
      <c r="D79" s="181"/>
      <c r="H79" s="242"/>
      <c r="I79" s="243"/>
      <c r="J79" s="243"/>
      <c r="K79" s="243"/>
      <c r="L79" s="243"/>
      <c r="M79" s="243"/>
    </row>
    <row r="80" spans="4:13" ht="12.75">
      <c r="D80" s="181"/>
      <c r="H80" s="242"/>
      <c r="I80" s="243"/>
      <c r="J80" s="243"/>
      <c r="K80" s="243"/>
      <c r="L80" s="243"/>
      <c r="M80" s="243"/>
    </row>
    <row r="81" spans="4:13" ht="12.75">
      <c r="D81" s="181"/>
      <c r="H81" s="242"/>
      <c r="I81" s="243"/>
      <c r="J81" s="243"/>
      <c r="K81" s="243"/>
      <c r="L81" s="243"/>
      <c r="M81" s="243"/>
    </row>
    <row r="82" spans="4:13" ht="12.75">
      <c r="D82" s="181"/>
      <c r="H82" s="242"/>
      <c r="I82" s="243"/>
      <c r="J82" s="243"/>
      <c r="K82" s="243"/>
      <c r="L82" s="243"/>
      <c r="M82" s="243"/>
    </row>
    <row r="83" spans="4:13" ht="12.75">
      <c r="D83" s="181"/>
      <c r="H83" s="242"/>
      <c r="I83" s="243"/>
      <c r="J83" s="243"/>
      <c r="K83" s="243"/>
      <c r="L83" s="243"/>
      <c r="M83" s="243"/>
    </row>
    <row r="84" spans="4:13" ht="12.75">
      <c r="D84" s="181"/>
      <c r="H84" s="242"/>
      <c r="I84" s="243"/>
      <c r="J84" s="243"/>
      <c r="K84" s="243"/>
      <c r="L84" s="243"/>
      <c r="M84" s="243"/>
    </row>
    <row r="85" spans="4:13" ht="12.75">
      <c r="D85" s="181"/>
      <c r="H85" s="242"/>
      <c r="I85" s="243"/>
      <c r="J85" s="243"/>
      <c r="K85" s="243"/>
      <c r="L85" s="243"/>
      <c r="M85" s="243"/>
    </row>
    <row r="86" spans="4:13" ht="12.75">
      <c r="D86" s="181"/>
      <c r="H86" s="242"/>
      <c r="I86" s="243"/>
      <c r="J86" s="243"/>
      <c r="K86" s="243"/>
      <c r="L86" s="243"/>
      <c r="M86" s="243"/>
    </row>
    <row r="87" spans="4:13" ht="12.75">
      <c r="D87" s="181"/>
      <c r="H87" s="242"/>
      <c r="I87" s="243"/>
      <c r="J87" s="243"/>
      <c r="K87" s="243"/>
      <c r="L87" s="243"/>
      <c r="M87" s="243"/>
    </row>
    <row r="88" spans="4:13" ht="12.75">
      <c r="D88" s="181"/>
      <c r="H88" s="242"/>
      <c r="I88" s="243"/>
      <c r="J88" s="243"/>
      <c r="K88" s="243"/>
      <c r="L88" s="243"/>
      <c r="M88" s="243"/>
    </row>
    <row r="89" spans="4:13" ht="12.75">
      <c r="D89" s="181"/>
      <c r="H89" s="242"/>
      <c r="I89" s="243"/>
      <c r="J89" s="243"/>
      <c r="K89" s="243"/>
      <c r="L89" s="243"/>
      <c r="M89" s="243"/>
    </row>
    <row r="90" spans="4:13" ht="12.75">
      <c r="D90" s="181"/>
      <c r="H90" s="242"/>
      <c r="I90" s="243"/>
      <c r="J90" s="243"/>
      <c r="K90" s="243"/>
      <c r="L90" s="243"/>
      <c r="M90" s="243"/>
    </row>
    <row r="91" spans="4:13" ht="12.75">
      <c r="D91" s="181"/>
      <c r="H91" s="242"/>
      <c r="I91" s="243"/>
      <c r="J91" s="243"/>
      <c r="K91" s="243"/>
      <c r="L91" s="243"/>
      <c r="M91" s="243"/>
    </row>
    <row r="92" spans="4:13" ht="12.75">
      <c r="D92" s="181"/>
      <c r="H92" s="242"/>
      <c r="I92" s="243"/>
      <c r="J92" s="243"/>
      <c r="K92" s="243"/>
      <c r="L92" s="243"/>
      <c r="M92" s="243"/>
    </row>
    <row r="93" spans="4:13" ht="12.75">
      <c r="D93" s="181"/>
      <c r="H93" s="242"/>
      <c r="I93" s="243"/>
      <c r="J93" s="243"/>
      <c r="K93" s="243"/>
      <c r="L93" s="243"/>
      <c r="M93" s="243"/>
    </row>
    <row r="94" spans="4:13" ht="12.75">
      <c r="D94" s="181"/>
      <c r="H94" s="242"/>
      <c r="I94" s="243"/>
      <c r="J94" s="243"/>
      <c r="K94" s="243"/>
      <c r="L94" s="243"/>
      <c r="M94" s="243"/>
    </row>
    <row r="95" spans="4:13" ht="12.75">
      <c r="D95" s="181"/>
      <c r="H95" s="242"/>
      <c r="I95" s="243"/>
      <c r="J95" s="243"/>
      <c r="K95" s="243"/>
      <c r="L95" s="243"/>
      <c r="M95" s="243"/>
    </row>
    <row r="96" spans="4:13" ht="12.75">
      <c r="D96" s="181"/>
      <c r="H96" s="242"/>
      <c r="I96" s="243"/>
      <c r="J96" s="243"/>
      <c r="K96" s="243"/>
      <c r="L96" s="243"/>
      <c r="M96" s="243"/>
    </row>
    <row r="97" spans="4:13" ht="12.75">
      <c r="D97" s="181"/>
      <c r="H97" s="242"/>
      <c r="I97" s="243"/>
      <c r="J97" s="243"/>
      <c r="K97" s="243"/>
      <c r="L97" s="243"/>
      <c r="M97" s="243"/>
    </row>
    <row r="98" spans="4:13" ht="12.75">
      <c r="D98" s="181"/>
      <c r="H98" s="242"/>
      <c r="I98" s="243"/>
      <c r="J98" s="243"/>
      <c r="K98" s="243"/>
      <c r="L98" s="243"/>
      <c r="M98" s="243"/>
    </row>
    <row r="99" spans="4:13" ht="12.75">
      <c r="D99" s="181"/>
      <c r="H99" s="242"/>
      <c r="I99" s="243"/>
      <c r="J99" s="243"/>
      <c r="K99" s="243"/>
      <c r="L99" s="243"/>
      <c r="M99" s="243"/>
    </row>
    <row r="100" spans="4:13" ht="12.75">
      <c r="D100" s="181"/>
      <c r="H100" s="242"/>
      <c r="I100" s="243"/>
      <c r="J100" s="243"/>
      <c r="K100" s="243"/>
      <c r="L100" s="243"/>
      <c r="M100" s="243"/>
    </row>
    <row r="101" spans="4:13" ht="12.75">
      <c r="D101" s="181"/>
      <c r="H101" s="242"/>
      <c r="I101" s="243"/>
      <c r="J101" s="243"/>
      <c r="K101" s="243"/>
      <c r="L101" s="243"/>
      <c r="M101" s="243"/>
    </row>
    <row r="102" spans="4:13" ht="12.75">
      <c r="D102" s="181"/>
      <c r="H102" s="242"/>
      <c r="I102" s="243"/>
      <c r="J102" s="243"/>
      <c r="K102" s="243"/>
      <c r="L102" s="243"/>
      <c r="M102" s="243"/>
    </row>
    <row r="103" spans="4:13" ht="12.75">
      <c r="D103" s="181"/>
      <c r="H103" s="242"/>
      <c r="I103" s="243"/>
      <c r="J103" s="243"/>
      <c r="K103" s="243"/>
      <c r="L103" s="243"/>
      <c r="M103" s="243"/>
    </row>
    <row r="104" spans="4:13" ht="12.75">
      <c r="D104" s="181"/>
      <c r="H104" s="242"/>
      <c r="I104" s="243"/>
      <c r="J104" s="243"/>
      <c r="K104" s="243"/>
      <c r="L104" s="243"/>
      <c r="M104" s="243"/>
    </row>
    <row r="105" spans="4:13" ht="12.75">
      <c r="D105" s="181"/>
      <c r="H105" s="242"/>
      <c r="I105" s="243"/>
      <c r="J105" s="243"/>
      <c r="K105" s="243"/>
      <c r="L105" s="243"/>
      <c r="M105" s="243"/>
    </row>
    <row r="106" spans="4:13" ht="12.75">
      <c r="D106" s="181"/>
      <c r="H106" s="242"/>
      <c r="I106" s="243"/>
      <c r="J106" s="243"/>
      <c r="K106" s="243"/>
      <c r="L106" s="243"/>
      <c r="M106" s="243"/>
    </row>
    <row r="107" spans="4:13" ht="12.75">
      <c r="D107" s="181"/>
      <c r="H107" s="242"/>
      <c r="I107" s="243"/>
      <c r="J107" s="243"/>
      <c r="K107" s="243"/>
      <c r="L107" s="243"/>
      <c r="M107" s="243"/>
    </row>
    <row r="108" spans="4:13" ht="12.75">
      <c r="D108" s="181"/>
      <c r="H108" s="242"/>
      <c r="I108" s="243"/>
      <c r="J108" s="243"/>
      <c r="K108" s="243"/>
      <c r="L108" s="243"/>
      <c r="M108" s="243"/>
    </row>
    <row r="109" spans="4:13" ht="12.75">
      <c r="D109" s="181"/>
      <c r="H109" s="242"/>
      <c r="I109" s="243"/>
      <c r="J109" s="243"/>
      <c r="K109" s="243"/>
      <c r="L109" s="243"/>
      <c r="M109" s="243"/>
    </row>
    <row r="110" spans="4:13" ht="12.75">
      <c r="D110" s="181"/>
      <c r="H110" s="242"/>
      <c r="I110" s="243"/>
      <c r="J110" s="243"/>
      <c r="K110" s="243"/>
      <c r="L110" s="243"/>
      <c r="M110" s="243"/>
    </row>
    <row r="111" spans="4:13" ht="12.75">
      <c r="D111" s="181"/>
      <c r="H111" s="242"/>
      <c r="I111" s="243"/>
      <c r="J111" s="243"/>
      <c r="K111" s="243"/>
      <c r="L111" s="243"/>
      <c r="M111" s="243"/>
    </row>
    <row r="112" spans="4:13" ht="12.75">
      <c r="D112" s="181"/>
      <c r="H112" s="242"/>
      <c r="I112" s="243"/>
      <c r="J112" s="243"/>
      <c r="K112" s="243"/>
      <c r="L112" s="243"/>
      <c r="M112" s="243"/>
    </row>
    <row r="113" spans="4:13" ht="12.75">
      <c r="D113" s="181"/>
      <c r="H113" s="242"/>
      <c r="I113" s="243"/>
      <c r="J113" s="243"/>
      <c r="K113" s="243"/>
      <c r="L113" s="243"/>
      <c r="M113" s="243"/>
    </row>
    <row r="114" spans="4:13" ht="12.75">
      <c r="D114" s="181"/>
      <c r="H114" s="242"/>
      <c r="I114" s="243"/>
      <c r="J114" s="243"/>
      <c r="K114" s="243"/>
      <c r="L114" s="243"/>
      <c r="M114" s="243"/>
    </row>
    <row r="115" spans="4:13" ht="12.75">
      <c r="D115" s="181"/>
      <c r="H115" s="242"/>
      <c r="I115" s="243"/>
      <c r="J115" s="243"/>
      <c r="K115" s="243"/>
      <c r="L115" s="243"/>
      <c r="M115" s="243"/>
    </row>
    <row r="116" spans="4:13" ht="12.75">
      <c r="D116" s="181"/>
      <c r="H116" s="242"/>
      <c r="I116" s="243"/>
      <c r="J116" s="243"/>
      <c r="K116" s="243"/>
      <c r="L116" s="243"/>
      <c r="M116" s="243"/>
    </row>
    <row r="117" spans="4:13" ht="12.75">
      <c r="D117" s="181"/>
      <c r="H117" s="242"/>
      <c r="I117" s="243"/>
      <c r="J117" s="243"/>
      <c r="K117" s="243"/>
      <c r="L117" s="243"/>
      <c r="M117" s="243"/>
    </row>
    <row r="118" spans="4:13" ht="12.75">
      <c r="D118" s="181"/>
      <c r="H118" s="242"/>
      <c r="I118" s="243"/>
      <c r="J118" s="243"/>
      <c r="K118" s="243"/>
      <c r="L118" s="243"/>
      <c r="M118" s="243"/>
    </row>
    <row r="119" spans="4:13" ht="12.75">
      <c r="D119" s="181"/>
      <c r="H119" s="242"/>
      <c r="I119" s="243"/>
      <c r="J119" s="243"/>
      <c r="K119" s="243"/>
      <c r="L119" s="243"/>
      <c r="M119" s="243"/>
    </row>
    <row r="120" spans="4:13" ht="12.75">
      <c r="D120" s="181"/>
      <c r="H120" s="242"/>
      <c r="I120" s="243"/>
      <c r="J120" s="243"/>
      <c r="K120" s="243"/>
      <c r="L120" s="243"/>
      <c r="M120" s="243"/>
    </row>
    <row r="121" spans="4:13" ht="12.75">
      <c r="D121" s="181"/>
      <c r="H121" s="242"/>
      <c r="I121" s="243"/>
      <c r="J121" s="243"/>
      <c r="K121" s="243"/>
      <c r="L121" s="243"/>
      <c r="M121" s="243"/>
    </row>
    <row r="122" spans="4:13" ht="12.75">
      <c r="D122" s="181"/>
      <c r="H122" s="242"/>
      <c r="I122" s="243"/>
      <c r="J122" s="243"/>
      <c r="K122" s="243"/>
      <c r="L122" s="243"/>
      <c r="M122" s="243"/>
    </row>
    <row r="123" ht="12.75">
      <c r="D123" s="181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20.7109375" style="175" customWidth="1"/>
    <col min="2" max="2" width="10.421875" style="175" customWidth="1"/>
    <col min="3" max="3" width="17.140625" style="175" bestFit="1" customWidth="1"/>
    <col min="4" max="4" width="15.28125" style="175" bestFit="1" customWidth="1"/>
    <col min="5" max="5" width="10.140625" style="175" customWidth="1"/>
    <col min="6" max="6" width="17.8515625" style="175" bestFit="1" customWidth="1"/>
    <col min="7" max="7" width="2.8515625" style="175" customWidth="1"/>
    <col min="8" max="8" width="5.140625" style="213" bestFit="1" customWidth="1"/>
    <col min="9" max="9" width="17.140625" style="180" bestFit="1" customWidth="1"/>
    <col min="10" max="10" width="14.421875" style="180" bestFit="1" customWidth="1"/>
    <col min="11" max="11" width="8.140625" style="180" customWidth="1"/>
    <col min="12" max="12" width="9.8515625" style="180" bestFit="1" customWidth="1"/>
    <col min="13" max="13" width="17.140625" style="180" bestFit="1" customWidth="1"/>
    <col min="14" max="14" width="10.7109375" style="180" customWidth="1"/>
    <col min="15" max="16384" width="11.421875" style="175" customWidth="1"/>
  </cols>
  <sheetData>
    <row r="1" spans="1:13" ht="12.75">
      <c r="A1" s="348" t="s">
        <v>165</v>
      </c>
      <c r="B1" s="349"/>
      <c r="C1" s="349"/>
      <c r="D1" s="349"/>
      <c r="E1" s="349"/>
      <c r="F1" s="350"/>
      <c r="H1" s="176" t="s">
        <v>166</v>
      </c>
      <c r="I1" s="177" t="s">
        <v>167</v>
      </c>
      <c r="J1" s="178" t="s">
        <v>168</v>
      </c>
      <c r="K1" s="178" t="s">
        <v>169</v>
      </c>
      <c r="L1" s="179" t="s">
        <v>170</v>
      </c>
      <c r="M1" s="178" t="s">
        <v>167</v>
      </c>
    </row>
    <row r="2" spans="4:13" ht="12.75">
      <c r="D2" s="181"/>
      <c r="H2" s="182"/>
      <c r="I2" s="183" t="s">
        <v>171</v>
      </c>
      <c r="J2" s="184"/>
      <c r="K2" s="184"/>
      <c r="L2" s="185" t="s">
        <v>172</v>
      </c>
      <c r="M2" s="250" t="s">
        <v>173</v>
      </c>
    </row>
    <row r="3" spans="1:13" ht="12.75">
      <c r="A3" s="186" t="s">
        <v>174</v>
      </c>
      <c r="B3" s="187">
        <f>'Plan de financement démarrage'!D10</f>
        <v>0</v>
      </c>
      <c r="C3" s="188"/>
      <c r="D3" s="214"/>
      <c r="H3" s="189">
        <v>1</v>
      </c>
      <c r="I3" s="190">
        <f>$B$3</f>
        <v>0</v>
      </c>
      <c r="J3" s="190">
        <f aca="true" t="shared" si="0" ref="J3:J34">IF(K3=0,0,L3-K3)</f>
        <v>0</v>
      </c>
      <c r="K3" s="190">
        <f aca="true" t="shared" si="1" ref="K3:K34">IF(AND(H3&gt;$B$7,H3&lt;=$B$9),ROUND((($B$5+$B$6)/12)*I3,3),0)</f>
        <v>0</v>
      </c>
      <c r="L3" s="248">
        <f aca="true" t="shared" si="2" ref="L3:L34">IF(AND(H3&gt;$B$7,H3&lt;=$B$9),$B$11,0)</f>
        <v>0</v>
      </c>
      <c r="M3" s="191">
        <f>I3-L3</f>
        <v>0</v>
      </c>
    </row>
    <row r="4" spans="1:13" ht="12.75">
      <c r="A4" s="186" t="s">
        <v>175</v>
      </c>
      <c r="B4" s="216">
        <v>5</v>
      </c>
      <c r="H4" s="189">
        <f aca="true" t="shared" si="3" ref="H4:H35">1+H3</f>
        <v>2</v>
      </c>
      <c r="I4" s="190">
        <f aca="true" t="shared" si="4" ref="I4:I35">IF(H4&gt;$B$9,0,M3)</f>
        <v>0</v>
      </c>
      <c r="J4" s="190">
        <f t="shared" si="0"/>
        <v>0</v>
      </c>
      <c r="K4" s="190">
        <f t="shared" si="1"/>
        <v>0</v>
      </c>
      <c r="L4" s="248">
        <f t="shared" si="2"/>
        <v>0</v>
      </c>
      <c r="M4" s="190">
        <f aca="true" t="shared" si="5" ref="M4:M62">I4-L4</f>
        <v>0</v>
      </c>
    </row>
    <row r="5" spans="1:13" ht="12.75">
      <c r="A5" s="186" t="s">
        <v>58</v>
      </c>
      <c r="B5" s="192">
        <v>0</v>
      </c>
      <c r="C5" s="193"/>
      <c r="H5" s="189">
        <f t="shared" si="3"/>
        <v>3</v>
      </c>
      <c r="I5" s="190">
        <f t="shared" si="4"/>
        <v>0</v>
      </c>
      <c r="J5" s="190">
        <f t="shared" si="0"/>
        <v>0</v>
      </c>
      <c r="K5" s="190">
        <f t="shared" si="1"/>
        <v>0</v>
      </c>
      <c r="L5" s="248">
        <f t="shared" si="2"/>
        <v>0</v>
      </c>
      <c r="M5" s="190">
        <f t="shared" si="5"/>
        <v>0</v>
      </c>
    </row>
    <row r="6" spans="1:13" ht="12.75">
      <c r="A6" s="194" t="s">
        <v>176</v>
      </c>
      <c r="B6" s="192">
        <v>0</v>
      </c>
      <c r="C6" s="193"/>
      <c r="H6" s="189">
        <f t="shared" si="3"/>
        <v>4</v>
      </c>
      <c r="I6" s="190">
        <f t="shared" si="4"/>
        <v>0</v>
      </c>
      <c r="J6" s="190">
        <f t="shared" si="0"/>
        <v>0</v>
      </c>
      <c r="K6" s="190">
        <f t="shared" si="1"/>
        <v>0</v>
      </c>
      <c r="L6" s="248">
        <f t="shared" si="2"/>
        <v>0</v>
      </c>
      <c r="M6" s="190">
        <f t="shared" si="5"/>
        <v>0</v>
      </c>
    </row>
    <row r="7" spans="1:13" ht="12.75">
      <c r="A7" s="195" t="s">
        <v>177</v>
      </c>
      <c r="B7" s="196">
        <v>0</v>
      </c>
      <c r="H7" s="189">
        <f t="shared" si="3"/>
        <v>5</v>
      </c>
      <c r="I7" s="190">
        <f t="shared" si="4"/>
        <v>0</v>
      </c>
      <c r="J7" s="190">
        <f t="shared" si="0"/>
        <v>0</v>
      </c>
      <c r="K7" s="190">
        <f t="shared" si="1"/>
        <v>0</v>
      </c>
      <c r="L7" s="248">
        <f t="shared" si="2"/>
        <v>0</v>
      </c>
      <c r="M7" s="190">
        <f t="shared" si="5"/>
        <v>0</v>
      </c>
    </row>
    <row r="8" spans="1:13" ht="12.75">
      <c r="A8" s="197" t="s">
        <v>178</v>
      </c>
      <c r="B8" s="196">
        <f>B4*12</f>
        <v>60</v>
      </c>
      <c r="C8" s="180"/>
      <c r="H8" s="189">
        <f t="shared" si="3"/>
        <v>6</v>
      </c>
      <c r="I8" s="190">
        <f t="shared" si="4"/>
        <v>0</v>
      </c>
      <c r="J8" s="190">
        <f t="shared" si="0"/>
        <v>0</v>
      </c>
      <c r="K8" s="190">
        <f t="shared" si="1"/>
        <v>0</v>
      </c>
      <c r="L8" s="248">
        <f t="shared" si="2"/>
        <v>0</v>
      </c>
      <c r="M8" s="190">
        <f t="shared" si="5"/>
        <v>0</v>
      </c>
    </row>
    <row r="9" spans="1:13" ht="12.75">
      <c r="A9" s="197" t="s">
        <v>179</v>
      </c>
      <c r="B9" s="196">
        <f>B8+B7</f>
        <v>60</v>
      </c>
      <c r="C9" s="180"/>
      <c r="D9" s="198"/>
      <c r="E9" s="199"/>
      <c r="H9" s="189">
        <f t="shared" si="3"/>
        <v>7</v>
      </c>
      <c r="I9" s="190">
        <f t="shared" si="4"/>
        <v>0</v>
      </c>
      <c r="J9" s="190">
        <f t="shared" si="0"/>
        <v>0</v>
      </c>
      <c r="K9" s="190">
        <f t="shared" si="1"/>
        <v>0</v>
      </c>
      <c r="L9" s="248">
        <f t="shared" si="2"/>
        <v>0</v>
      </c>
      <c r="M9" s="190">
        <f t="shared" si="5"/>
        <v>0</v>
      </c>
    </row>
    <row r="10" spans="1:13" ht="12.75">
      <c r="A10" s="197" t="s">
        <v>180</v>
      </c>
      <c r="B10" s="200">
        <f>B11*12</f>
        <v>0</v>
      </c>
      <c r="C10" s="199"/>
      <c r="E10" s="199"/>
      <c r="H10" s="189">
        <f t="shared" si="3"/>
        <v>8</v>
      </c>
      <c r="I10" s="190">
        <f t="shared" si="4"/>
        <v>0</v>
      </c>
      <c r="J10" s="190">
        <f t="shared" si="0"/>
        <v>0</v>
      </c>
      <c r="K10" s="190">
        <f t="shared" si="1"/>
        <v>0</v>
      </c>
      <c r="L10" s="248">
        <f t="shared" si="2"/>
        <v>0</v>
      </c>
      <c r="M10" s="190">
        <f t="shared" si="5"/>
        <v>0</v>
      </c>
    </row>
    <row r="11" spans="1:13" ht="12.75">
      <c r="A11" s="197" t="s">
        <v>181</v>
      </c>
      <c r="B11" s="200">
        <f>PMT(($B$5+$B$6)/12,$B$8,-$B$3)</f>
        <v>0</v>
      </c>
      <c r="C11" s="199"/>
      <c r="E11" s="199"/>
      <c r="H11" s="189">
        <f t="shared" si="3"/>
        <v>9</v>
      </c>
      <c r="I11" s="190">
        <f t="shared" si="4"/>
        <v>0</v>
      </c>
      <c r="J11" s="190">
        <f t="shared" si="0"/>
        <v>0</v>
      </c>
      <c r="K11" s="190">
        <f t="shared" si="1"/>
        <v>0</v>
      </c>
      <c r="L11" s="248">
        <f t="shared" si="2"/>
        <v>0</v>
      </c>
      <c r="M11" s="190">
        <f t="shared" si="5"/>
        <v>0</v>
      </c>
    </row>
    <row r="12" spans="1:13" ht="12.75">
      <c r="A12" s="195" t="s">
        <v>182</v>
      </c>
      <c r="B12" s="200">
        <f>(B10*B4)-B3</f>
        <v>0</v>
      </c>
      <c r="C12" s="201"/>
      <c r="D12" s="201"/>
      <c r="E12" s="201"/>
      <c r="F12" s="201"/>
      <c r="H12" s="189">
        <f t="shared" si="3"/>
        <v>10</v>
      </c>
      <c r="I12" s="190">
        <f t="shared" si="4"/>
        <v>0</v>
      </c>
      <c r="J12" s="190">
        <f t="shared" si="0"/>
        <v>0</v>
      </c>
      <c r="K12" s="190">
        <f t="shared" si="1"/>
        <v>0</v>
      </c>
      <c r="L12" s="248">
        <f t="shared" si="2"/>
        <v>0</v>
      </c>
      <c r="M12" s="190">
        <f t="shared" si="5"/>
        <v>0</v>
      </c>
    </row>
    <row r="13" spans="2:13" ht="12.75">
      <c r="B13" s="201"/>
      <c r="C13" s="201"/>
      <c r="D13" s="201"/>
      <c r="E13" s="201"/>
      <c r="F13" s="201"/>
      <c r="H13" s="189">
        <f t="shared" si="3"/>
        <v>11</v>
      </c>
      <c r="I13" s="190">
        <f t="shared" si="4"/>
        <v>0</v>
      </c>
      <c r="J13" s="190">
        <f t="shared" si="0"/>
        <v>0</v>
      </c>
      <c r="K13" s="190">
        <f t="shared" si="1"/>
        <v>0</v>
      </c>
      <c r="L13" s="248">
        <f t="shared" si="2"/>
        <v>0</v>
      </c>
      <c r="M13" s="190">
        <f t="shared" si="5"/>
        <v>0</v>
      </c>
    </row>
    <row r="14" spans="2:13" ht="12.75">
      <c r="B14" s="202" t="s">
        <v>183</v>
      </c>
      <c r="C14" s="202" t="s">
        <v>167</v>
      </c>
      <c r="D14" s="202" t="s">
        <v>184</v>
      </c>
      <c r="E14" s="203" t="s">
        <v>169</v>
      </c>
      <c r="F14" s="202" t="s">
        <v>185</v>
      </c>
      <c r="H14" s="189">
        <f t="shared" si="3"/>
        <v>12</v>
      </c>
      <c r="I14" s="190">
        <f t="shared" si="4"/>
        <v>0</v>
      </c>
      <c r="J14" s="190">
        <f t="shared" si="0"/>
        <v>0</v>
      </c>
      <c r="K14" s="190">
        <f t="shared" si="1"/>
        <v>0</v>
      </c>
      <c r="L14" s="248">
        <f t="shared" si="2"/>
        <v>0</v>
      </c>
      <c r="M14" s="190">
        <f t="shared" si="5"/>
        <v>0</v>
      </c>
    </row>
    <row r="15" spans="2:13" ht="12.75">
      <c r="B15" s="204">
        <v>0</v>
      </c>
      <c r="C15" s="205">
        <f>B3</f>
        <v>0</v>
      </c>
      <c r="D15" s="206">
        <v>0</v>
      </c>
      <c r="E15" s="206">
        <v>0</v>
      </c>
      <c r="F15" s="206">
        <v>0</v>
      </c>
      <c r="H15" s="189">
        <f t="shared" si="3"/>
        <v>13</v>
      </c>
      <c r="I15" s="190">
        <f t="shared" si="4"/>
        <v>0</v>
      </c>
      <c r="J15" s="190">
        <f t="shared" si="0"/>
        <v>0</v>
      </c>
      <c r="K15" s="190">
        <f t="shared" si="1"/>
        <v>0</v>
      </c>
      <c r="L15" s="248">
        <f t="shared" si="2"/>
        <v>0</v>
      </c>
      <c r="M15" s="190">
        <f t="shared" si="5"/>
        <v>0</v>
      </c>
    </row>
    <row r="16" spans="2:13" ht="12.75">
      <c r="B16" s="204">
        <f>1+B15</f>
        <v>1</v>
      </c>
      <c r="C16" s="205">
        <f>I15</f>
        <v>0</v>
      </c>
      <c r="D16" s="206">
        <f>SUM(J3:J14)</f>
        <v>0</v>
      </c>
      <c r="E16" s="206">
        <f>SUM(K3:K14)</f>
        <v>0</v>
      </c>
      <c r="F16" s="206">
        <f>SUM(L3:L14)</f>
        <v>0</v>
      </c>
      <c r="H16" s="189">
        <f t="shared" si="3"/>
        <v>14</v>
      </c>
      <c r="I16" s="190">
        <f t="shared" si="4"/>
        <v>0</v>
      </c>
      <c r="J16" s="190">
        <f t="shared" si="0"/>
        <v>0</v>
      </c>
      <c r="K16" s="190">
        <f t="shared" si="1"/>
        <v>0</v>
      </c>
      <c r="L16" s="248">
        <f t="shared" si="2"/>
        <v>0</v>
      </c>
      <c r="M16" s="190">
        <f t="shared" si="5"/>
        <v>0</v>
      </c>
    </row>
    <row r="17" spans="2:14" ht="12.75">
      <c r="B17" s="204">
        <f>1+B16</f>
        <v>2</v>
      </c>
      <c r="C17" s="205">
        <f>I27</f>
        <v>0</v>
      </c>
      <c r="D17" s="206">
        <f>SUM(J15:J26)</f>
        <v>0</v>
      </c>
      <c r="E17" s="206">
        <f>SUM(K15:K26)</f>
        <v>0</v>
      </c>
      <c r="F17" s="206">
        <f>SUM(L15:L26)</f>
        <v>0</v>
      </c>
      <c r="H17" s="189">
        <f t="shared" si="3"/>
        <v>15</v>
      </c>
      <c r="I17" s="190">
        <f t="shared" si="4"/>
        <v>0</v>
      </c>
      <c r="J17" s="190">
        <f t="shared" si="0"/>
        <v>0</v>
      </c>
      <c r="K17" s="190">
        <f t="shared" si="1"/>
        <v>0</v>
      </c>
      <c r="L17" s="248">
        <f t="shared" si="2"/>
        <v>0</v>
      </c>
      <c r="M17" s="190">
        <f t="shared" si="5"/>
        <v>0</v>
      </c>
      <c r="N17" s="207"/>
    </row>
    <row r="18" spans="2:13" ht="12.75">
      <c r="B18" s="204">
        <f>1+B17</f>
        <v>3</v>
      </c>
      <c r="C18" s="205">
        <f>I39</f>
        <v>0</v>
      </c>
      <c r="D18" s="206">
        <f>SUM(J27:J38)</f>
        <v>0</v>
      </c>
      <c r="E18" s="206">
        <f>SUM(K27:K38)</f>
        <v>0</v>
      </c>
      <c r="F18" s="206">
        <f>SUM(L27:L38)</f>
        <v>0</v>
      </c>
      <c r="H18" s="189">
        <f t="shared" si="3"/>
        <v>16</v>
      </c>
      <c r="I18" s="190">
        <f t="shared" si="4"/>
        <v>0</v>
      </c>
      <c r="J18" s="190">
        <f t="shared" si="0"/>
        <v>0</v>
      </c>
      <c r="K18" s="190">
        <f t="shared" si="1"/>
        <v>0</v>
      </c>
      <c r="L18" s="248">
        <f t="shared" si="2"/>
        <v>0</v>
      </c>
      <c r="M18" s="190">
        <f t="shared" si="5"/>
        <v>0</v>
      </c>
    </row>
    <row r="19" spans="2:13" ht="12.75">
      <c r="B19" s="245"/>
      <c r="C19" s="246"/>
      <c r="D19" s="246"/>
      <c r="E19" s="246"/>
      <c r="F19" s="246"/>
      <c r="H19" s="189">
        <f t="shared" si="3"/>
        <v>17</v>
      </c>
      <c r="I19" s="190">
        <f t="shared" si="4"/>
        <v>0</v>
      </c>
      <c r="J19" s="190">
        <f t="shared" si="0"/>
        <v>0</v>
      </c>
      <c r="K19" s="190">
        <f t="shared" si="1"/>
        <v>0</v>
      </c>
      <c r="L19" s="248">
        <f t="shared" si="2"/>
        <v>0</v>
      </c>
      <c r="M19" s="190">
        <f t="shared" si="5"/>
        <v>0</v>
      </c>
    </row>
    <row r="20" spans="2:13" ht="12.75">
      <c r="B20" s="244"/>
      <c r="C20" s="243"/>
      <c r="D20" s="243"/>
      <c r="E20" s="243"/>
      <c r="F20" s="243"/>
      <c r="H20" s="189">
        <f t="shared" si="3"/>
        <v>18</v>
      </c>
      <c r="I20" s="190">
        <f t="shared" si="4"/>
        <v>0</v>
      </c>
      <c r="J20" s="190">
        <f t="shared" si="0"/>
        <v>0</v>
      </c>
      <c r="K20" s="190">
        <f t="shared" si="1"/>
        <v>0</v>
      </c>
      <c r="L20" s="248">
        <f t="shared" si="2"/>
        <v>0</v>
      </c>
      <c r="M20" s="190">
        <f t="shared" si="5"/>
        <v>0</v>
      </c>
    </row>
    <row r="21" spans="2:13" ht="12.75">
      <c r="B21" s="244"/>
      <c r="C21" s="243"/>
      <c r="D21" s="243"/>
      <c r="E21" s="243"/>
      <c r="F21" s="243"/>
      <c r="H21" s="189">
        <f t="shared" si="3"/>
        <v>19</v>
      </c>
      <c r="I21" s="190">
        <f t="shared" si="4"/>
        <v>0</v>
      </c>
      <c r="J21" s="190">
        <f t="shared" si="0"/>
        <v>0</v>
      </c>
      <c r="K21" s="190">
        <f t="shared" si="1"/>
        <v>0</v>
      </c>
      <c r="L21" s="248">
        <f t="shared" si="2"/>
        <v>0</v>
      </c>
      <c r="M21" s="190">
        <f t="shared" si="5"/>
        <v>0</v>
      </c>
    </row>
    <row r="22" spans="2:13" ht="12.75">
      <c r="B22" s="244"/>
      <c r="C22" s="243"/>
      <c r="D22" s="243"/>
      <c r="E22" s="243"/>
      <c r="F22" s="243"/>
      <c r="H22" s="189">
        <f t="shared" si="3"/>
        <v>20</v>
      </c>
      <c r="I22" s="190">
        <f t="shared" si="4"/>
        <v>0</v>
      </c>
      <c r="J22" s="190">
        <f t="shared" si="0"/>
        <v>0</v>
      </c>
      <c r="K22" s="190">
        <f t="shared" si="1"/>
        <v>0</v>
      </c>
      <c r="L22" s="248">
        <f t="shared" si="2"/>
        <v>0</v>
      </c>
      <c r="M22" s="190">
        <f t="shared" si="5"/>
        <v>0</v>
      </c>
    </row>
    <row r="23" spans="2:13" ht="12.75">
      <c r="B23" s="244"/>
      <c r="C23" s="243"/>
      <c r="D23" s="243"/>
      <c r="E23" s="243"/>
      <c r="F23" s="243"/>
      <c r="H23" s="189">
        <f t="shared" si="3"/>
        <v>21</v>
      </c>
      <c r="I23" s="190">
        <f t="shared" si="4"/>
        <v>0</v>
      </c>
      <c r="J23" s="190">
        <f t="shared" si="0"/>
        <v>0</v>
      </c>
      <c r="K23" s="190">
        <f t="shared" si="1"/>
        <v>0</v>
      </c>
      <c r="L23" s="248">
        <f t="shared" si="2"/>
        <v>0</v>
      </c>
      <c r="M23" s="190">
        <f t="shared" si="5"/>
        <v>0</v>
      </c>
    </row>
    <row r="24" spans="2:13" ht="12.75">
      <c r="B24" s="244"/>
      <c r="C24" s="243"/>
      <c r="D24" s="243"/>
      <c r="E24" s="243"/>
      <c r="F24" s="243"/>
      <c r="H24" s="189">
        <f t="shared" si="3"/>
        <v>22</v>
      </c>
      <c r="I24" s="190">
        <f t="shared" si="4"/>
        <v>0</v>
      </c>
      <c r="J24" s="190">
        <f t="shared" si="0"/>
        <v>0</v>
      </c>
      <c r="K24" s="190">
        <f t="shared" si="1"/>
        <v>0</v>
      </c>
      <c r="L24" s="248">
        <f t="shared" si="2"/>
        <v>0</v>
      </c>
      <c r="M24" s="190">
        <f t="shared" si="5"/>
        <v>0</v>
      </c>
    </row>
    <row r="25" spans="2:13" ht="12.75">
      <c r="B25" s="244"/>
      <c r="C25" s="243"/>
      <c r="D25" s="243"/>
      <c r="E25" s="243"/>
      <c r="F25" s="243"/>
      <c r="H25" s="189">
        <f t="shared" si="3"/>
        <v>23</v>
      </c>
      <c r="I25" s="190">
        <f t="shared" si="4"/>
        <v>0</v>
      </c>
      <c r="J25" s="190">
        <f t="shared" si="0"/>
        <v>0</v>
      </c>
      <c r="K25" s="190">
        <f t="shared" si="1"/>
        <v>0</v>
      </c>
      <c r="L25" s="248">
        <f t="shared" si="2"/>
        <v>0</v>
      </c>
      <c r="M25" s="190">
        <f t="shared" si="5"/>
        <v>0</v>
      </c>
    </row>
    <row r="26" spans="4:13" ht="12.75">
      <c r="D26" s="181"/>
      <c r="H26" s="189">
        <f t="shared" si="3"/>
        <v>24</v>
      </c>
      <c r="I26" s="190">
        <f t="shared" si="4"/>
        <v>0</v>
      </c>
      <c r="J26" s="190">
        <f t="shared" si="0"/>
        <v>0</v>
      </c>
      <c r="K26" s="190">
        <f t="shared" si="1"/>
        <v>0</v>
      </c>
      <c r="L26" s="248">
        <f t="shared" si="2"/>
        <v>0</v>
      </c>
      <c r="M26" s="190">
        <f t="shared" si="5"/>
        <v>0</v>
      </c>
    </row>
    <row r="27" spans="4:13" ht="12.75">
      <c r="D27" s="181"/>
      <c r="H27" s="189">
        <f t="shared" si="3"/>
        <v>25</v>
      </c>
      <c r="I27" s="190">
        <f t="shared" si="4"/>
        <v>0</v>
      </c>
      <c r="J27" s="190">
        <f t="shared" si="0"/>
        <v>0</v>
      </c>
      <c r="K27" s="190">
        <f t="shared" si="1"/>
        <v>0</v>
      </c>
      <c r="L27" s="248">
        <f t="shared" si="2"/>
        <v>0</v>
      </c>
      <c r="M27" s="190">
        <f t="shared" si="5"/>
        <v>0</v>
      </c>
    </row>
    <row r="28" spans="4:13" ht="12.75">
      <c r="D28" s="181"/>
      <c r="H28" s="189">
        <f t="shared" si="3"/>
        <v>26</v>
      </c>
      <c r="I28" s="190">
        <f t="shared" si="4"/>
        <v>0</v>
      </c>
      <c r="J28" s="190">
        <f t="shared" si="0"/>
        <v>0</v>
      </c>
      <c r="K28" s="190">
        <f t="shared" si="1"/>
        <v>0</v>
      </c>
      <c r="L28" s="248">
        <f t="shared" si="2"/>
        <v>0</v>
      </c>
      <c r="M28" s="190">
        <f t="shared" si="5"/>
        <v>0</v>
      </c>
    </row>
    <row r="29" spans="4:13" ht="12.75">
      <c r="D29" s="181"/>
      <c r="H29" s="189">
        <f t="shared" si="3"/>
        <v>27</v>
      </c>
      <c r="I29" s="190">
        <f t="shared" si="4"/>
        <v>0</v>
      </c>
      <c r="J29" s="190">
        <f t="shared" si="0"/>
        <v>0</v>
      </c>
      <c r="K29" s="190">
        <f t="shared" si="1"/>
        <v>0</v>
      </c>
      <c r="L29" s="248">
        <f t="shared" si="2"/>
        <v>0</v>
      </c>
      <c r="M29" s="190">
        <f t="shared" si="5"/>
        <v>0</v>
      </c>
    </row>
    <row r="30" spans="4:13" ht="12.75">
      <c r="D30" s="181"/>
      <c r="H30" s="189">
        <f t="shared" si="3"/>
        <v>28</v>
      </c>
      <c r="I30" s="190">
        <f t="shared" si="4"/>
        <v>0</v>
      </c>
      <c r="J30" s="190">
        <f t="shared" si="0"/>
        <v>0</v>
      </c>
      <c r="K30" s="190">
        <f t="shared" si="1"/>
        <v>0</v>
      </c>
      <c r="L30" s="248">
        <f t="shared" si="2"/>
        <v>0</v>
      </c>
      <c r="M30" s="190">
        <f t="shared" si="5"/>
        <v>0</v>
      </c>
    </row>
    <row r="31" spans="4:13" ht="12.75">
      <c r="D31" s="181"/>
      <c r="H31" s="189">
        <f t="shared" si="3"/>
        <v>29</v>
      </c>
      <c r="I31" s="190">
        <f t="shared" si="4"/>
        <v>0</v>
      </c>
      <c r="J31" s="190">
        <f t="shared" si="0"/>
        <v>0</v>
      </c>
      <c r="K31" s="190">
        <f t="shared" si="1"/>
        <v>0</v>
      </c>
      <c r="L31" s="248">
        <f t="shared" si="2"/>
        <v>0</v>
      </c>
      <c r="M31" s="190">
        <f t="shared" si="5"/>
        <v>0</v>
      </c>
    </row>
    <row r="32" spans="4:13" ht="12.75">
      <c r="D32" s="181"/>
      <c r="H32" s="189">
        <f t="shared" si="3"/>
        <v>30</v>
      </c>
      <c r="I32" s="190">
        <f t="shared" si="4"/>
        <v>0</v>
      </c>
      <c r="J32" s="190">
        <f t="shared" si="0"/>
        <v>0</v>
      </c>
      <c r="K32" s="190">
        <f t="shared" si="1"/>
        <v>0</v>
      </c>
      <c r="L32" s="248">
        <f t="shared" si="2"/>
        <v>0</v>
      </c>
      <c r="M32" s="190">
        <f t="shared" si="5"/>
        <v>0</v>
      </c>
    </row>
    <row r="33" spans="4:13" ht="12.75">
      <c r="D33" s="181"/>
      <c r="H33" s="189">
        <f t="shared" si="3"/>
        <v>31</v>
      </c>
      <c r="I33" s="190">
        <f t="shared" si="4"/>
        <v>0</v>
      </c>
      <c r="J33" s="190">
        <f t="shared" si="0"/>
        <v>0</v>
      </c>
      <c r="K33" s="190">
        <f t="shared" si="1"/>
        <v>0</v>
      </c>
      <c r="L33" s="248">
        <f t="shared" si="2"/>
        <v>0</v>
      </c>
      <c r="M33" s="190">
        <f t="shared" si="5"/>
        <v>0</v>
      </c>
    </row>
    <row r="34" spans="4:13" ht="12.75">
      <c r="D34" s="181"/>
      <c r="H34" s="189">
        <f t="shared" si="3"/>
        <v>32</v>
      </c>
      <c r="I34" s="190">
        <f t="shared" si="4"/>
        <v>0</v>
      </c>
      <c r="J34" s="190">
        <f t="shared" si="0"/>
        <v>0</v>
      </c>
      <c r="K34" s="190">
        <f t="shared" si="1"/>
        <v>0</v>
      </c>
      <c r="L34" s="248">
        <f t="shared" si="2"/>
        <v>0</v>
      </c>
      <c r="M34" s="190">
        <f t="shared" si="5"/>
        <v>0</v>
      </c>
    </row>
    <row r="35" spans="4:13" ht="12.75">
      <c r="D35" s="181"/>
      <c r="H35" s="189">
        <f t="shared" si="3"/>
        <v>33</v>
      </c>
      <c r="I35" s="190">
        <f t="shared" si="4"/>
        <v>0</v>
      </c>
      <c r="J35" s="190">
        <f>IF(K35=0,0,L35-K35)</f>
        <v>0</v>
      </c>
      <c r="K35" s="190">
        <f>IF(AND(H35&gt;$B$7,H35&lt;=$B$9),ROUND((($B$5+$B$6)/12)*I35,3),0)</f>
        <v>0</v>
      </c>
      <c r="L35" s="248">
        <f>IF(AND(H35&gt;$B$7,H35&lt;=$B$9),$B$11,0)</f>
        <v>0</v>
      </c>
      <c r="M35" s="190">
        <f t="shared" si="5"/>
        <v>0</v>
      </c>
    </row>
    <row r="36" spans="4:13" ht="12.75">
      <c r="D36" s="181"/>
      <c r="H36" s="189">
        <f>1+H35</f>
        <v>34</v>
      </c>
      <c r="I36" s="190">
        <f>IF(H36&gt;$B$9,0,M35)</f>
        <v>0</v>
      </c>
      <c r="J36" s="190">
        <f>IF(K36=0,0,L36-K36)</f>
        <v>0</v>
      </c>
      <c r="K36" s="190">
        <f>IF(AND(H36&gt;$B$7,H36&lt;=$B$9),ROUND((($B$5+$B$6)/12)*I36,3),0)</f>
        <v>0</v>
      </c>
      <c r="L36" s="248">
        <f>IF(AND(H36&gt;$B$7,H36&lt;=$B$9),$B$11,0)</f>
        <v>0</v>
      </c>
      <c r="M36" s="190">
        <f t="shared" si="5"/>
        <v>0</v>
      </c>
    </row>
    <row r="37" spans="4:13" ht="12.75">
      <c r="D37" s="181"/>
      <c r="H37" s="189">
        <f>1+H36</f>
        <v>35</v>
      </c>
      <c r="I37" s="190">
        <f>IF(H37&gt;$B$9,0,M36)</f>
        <v>0</v>
      </c>
      <c r="J37" s="190">
        <f>IF(K37=0,0,L37-K37)</f>
        <v>0</v>
      </c>
      <c r="K37" s="190">
        <f>IF(AND(H37&gt;$B$7,H37&lt;=$B$9),ROUND((($B$5+$B$6)/12)*I37,3),0)</f>
        <v>0</v>
      </c>
      <c r="L37" s="248">
        <f>IF(AND(H37&gt;$B$7,H37&lt;=$B$9),$B$11,0)</f>
        <v>0</v>
      </c>
      <c r="M37" s="190">
        <f t="shared" si="5"/>
        <v>0</v>
      </c>
    </row>
    <row r="38" spans="4:13" ht="12.75">
      <c r="D38" s="181"/>
      <c r="H38" s="189">
        <f>1+H37</f>
        <v>36</v>
      </c>
      <c r="I38" s="190">
        <f>IF(H38&gt;$B$9,0,M37)</f>
        <v>0</v>
      </c>
      <c r="J38" s="190">
        <f>IF(K38=0,0,L38-K38)</f>
        <v>0</v>
      </c>
      <c r="K38" s="190">
        <f>IF(AND(H38&gt;$B$7,H38&lt;=$B$9),ROUND((($B$5+$B$6)/12)*I38,3),0)</f>
        <v>0</v>
      </c>
      <c r="L38" s="248">
        <f>IF(AND(H38&gt;$B$7,H38&lt;=$B$9),$B$11,0)</f>
        <v>0</v>
      </c>
      <c r="M38" s="190">
        <f t="shared" si="5"/>
        <v>0</v>
      </c>
    </row>
    <row r="39" spans="4:13" ht="12.75">
      <c r="D39" s="181"/>
      <c r="H39" s="288">
        <f aca="true" t="shared" si="6" ref="H39:H60">1+H38</f>
        <v>37</v>
      </c>
      <c r="I39" s="248">
        <f aca="true" t="shared" si="7" ref="I39:I60">IF(H39&gt;$B$9,0,M38)</f>
        <v>0</v>
      </c>
      <c r="J39" s="190">
        <f aca="true" t="shared" si="8" ref="J39:J60">IF(K39=0,0,L39-K39)</f>
        <v>0</v>
      </c>
      <c r="K39" s="286">
        <f aca="true" t="shared" si="9" ref="K39:K60">IF(AND(H39&gt;$B$7,H39&lt;=$B$9),ROUND((($B$5+$B$6)/12)*I39,3),0)</f>
        <v>0</v>
      </c>
      <c r="L39" s="286">
        <f aca="true" t="shared" si="10" ref="L39:L60">IF(AND(H39&gt;$B$7,H39&lt;=$B$9),$B$11,0)</f>
        <v>0</v>
      </c>
      <c r="M39" s="286">
        <f t="shared" si="5"/>
        <v>0</v>
      </c>
    </row>
    <row r="40" spans="4:13" ht="12.75">
      <c r="D40" s="181"/>
      <c r="H40" s="288">
        <f t="shared" si="6"/>
        <v>38</v>
      </c>
      <c r="I40" s="248">
        <f t="shared" si="7"/>
        <v>0</v>
      </c>
      <c r="J40" s="190">
        <f t="shared" si="8"/>
        <v>0</v>
      </c>
      <c r="K40" s="286">
        <f t="shared" si="9"/>
        <v>0</v>
      </c>
      <c r="L40" s="286">
        <f t="shared" si="10"/>
        <v>0</v>
      </c>
      <c r="M40" s="286">
        <f t="shared" si="5"/>
        <v>0</v>
      </c>
    </row>
    <row r="41" spans="4:13" ht="12.75">
      <c r="D41" s="181"/>
      <c r="H41" s="288">
        <f t="shared" si="6"/>
        <v>39</v>
      </c>
      <c r="I41" s="248">
        <f t="shared" si="7"/>
        <v>0</v>
      </c>
      <c r="J41" s="190">
        <f t="shared" si="8"/>
        <v>0</v>
      </c>
      <c r="K41" s="286">
        <f t="shared" si="9"/>
        <v>0</v>
      </c>
      <c r="L41" s="286">
        <f t="shared" si="10"/>
        <v>0</v>
      </c>
      <c r="M41" s="286">
        <f t="shared" si="5"/>
        <v>0</v>
      </c>
    </row>
    <row r="42" spans="4:13" ht="12.75">
      <c r="D42" s="181"/>
      <c r="H42" s="288">
        <f t="shared" si="6"/>
        <v>40</v>
      </c>
      <c r="I42" s="248">
        <f t="shared" si="7"/>
        <v>0</v>
      </c>
      <c r="J42" s="190">
        <f t="shared" si="8"/>
        <v>0</v>
      </c>
      <c r="K42" s="286">
        <f t="shared" si="9"/>
        <v>0</v>
      </c>
      <c r="L42" s="286">
        <f t="shared" si="10"/>
        <v>0</v>
      </c>
      <c r="M42" s="286">
        <f t="shared" si="5"/>
        <v>0</v>
      </c>
    </row>
    <row r="43" spans="4:13" ht="12.75">
      <c r="D43" s="181"/>
      <c r="H43" s="288">
        <f t="shared" si="6"/>
        <v>41</v>
      </c>
      <c r="I43" s="248">
        <f t="shared" si="7"/>
        <v>0</v>
      </c>
      <c r="J43" s="190">
        <f t="shared" si="8"/>
        <v>0</v>
      </c>
      <c r="K43" s="286">
        <f t="shared" si="9"/>
        <v>0</v>
      </c>
      <c r="L43" s="286">
        <f t="shared" si="10"/>
        <v>0</v>
      </c>
      <c r="M43" s="286">
        <f t="shared" si="5"/>
        <v>0</v>
      </c>
    </row>
    <row r="44" spans="4:13" ht="12.75">
      <c r="D44" s="181"/>
      <c r="H44" s="288">
        <f t="shared" si="6"/>
        <v>42</v>
      </c>
      <c r="I44" s="248">
        <f t="shared" si="7"/>
        <v>0</v>
      </c>
      <c r="J44" s="190">
        <f t="shared" si="8"/>
        <v>0</v>
      </c>
      <c r="K44" s="286">
        <f t="shared" si="9"/>
        <v>0</v>
      </c>
      <c r="L44" s="286">
        <f t="shared" si="10"/>
        <v>0</v>
      </c>
      <c r="M44" s="286">
        <f t="shared" si="5"/>
        <v>0</v>
      </c>
    </row>
    <row r="45" spans="4:13" ht="12.75">
      <c r="D45" s="181"/>
      <c r="H45" s="288">
        <f t="shared" si="6"/>
        <v>43</v>
      </c>
      <c r="I45" s="248">
        <f t="shared" si="7"/>
        <v>0</v>
      </c>
      <c r="J45" s="190">
        <f t="shared" si="8"/>
        <v>0</v>
      </c>
      <c r="K45" s="286">
        <f t="shared" si="9"/>
        <v>0</v>
      </c>
      <c r="L45" s="286">
        <f t="shared" si="10"/>
        <v>0</v>
      </c>
      <c r="M45" s="286">
        <f t="shared" si="5"/>
        <v>0</v>
      </c>
    </row>
    <row r="46" spans="4:13" ht="12.75">
      <c r="D46" s="181"/>
      <c r="H46" s="288">
        <f t="shared" si="6"/>
        <v>44</v>
      </c>
      <c r="I46" s="248">
        <f t="shared" si="7"/>
        <v>0</v>
      </c>
      <c r="J46" s="190">
        <f t="shared" si="8"/>
        <v>0</v>
      </c>
      <c r="K46" s="286">
        <f t="shared" si="9"/>
        <v>0</v>
      </c>
      <c r="L46" s="286">
        <f t="shared" si="10"/>
        <v>0</v>
      </c>
      <c r="M46" s="286">
        <f t="shared" si="5"/>
        <v>0</v>
      </c>
    </row>
    <row r="47" spans="4:13" ht="12.75">
      <c r="D47" s="181"/>
      <c r="H47" s="288">
        <f t="shared" si="6"/>
        <v>45</v>
      </c>
      <c r="I47" s="248">
        <f t="shared" si="7"/>
        <v>0</v>
      </c>
      <c r="J47" s="190">
        <f t="shared" si="8"/>
        <v>0</v>
      </c>
      <c r="K47" s="286">
        <f t="shared" si="9"/>
        <v>0</v>
      </c>
      <c r="L47" s="286">
        <f t="shared" si="10"/>
        <v>0</v>
      </c>
      <c r="M47" s="286">
        <f t="shared" si="5"/>
        <v>0</v>
      </c>
    </row>
    <row r="48" spans="4:13" ht="12.75">
      <c r="D48" s="181"/>
      <c r="H48" s="288">
        <f t="shared" si="6"/>
        <v>46</v>
      </c>
      <c r="I48" s="248">
        <f t="shared" si="7"/>
        <v>0</v>
      </c>
      <c r="J48" s="190">
        <f t="shared" si="8"/>
        <v>0</v>
      </c>
      <c r="K48" s="286">
        <f t="shared" si="9"/>
        <v>0</v>
      </c>
      <c r="L48" s="286">
        <f t="shared" si="10"/>
        <v>0</v>
      </c>
      <c r="M48" s="286">
        <f t="shared" si="5"/>
        <v>0</v>
      </c>
    </row>
    <row r="49" spans="4:13" ht="12.75">
      <c r="D49" s="181"/>
      <c r="H49" s="288">
        <f t="shared" si="6"/>
        <v>47</v>
      </c>
      <c r="I49" s="248">
        <f t="shared" si="7"/>
        <v>0</v>
      </c>
      <c r="J49" s="190">
        <f t="shared" si="8"/>
        <v>0</v>
      </c>
      <c r="K49" s="286">
        <f t="shared" si="9"/>
        <v>0</v>
      </c>
      <c r="L49" s="286">
        <f t="shared" si="10"/>
        <v>0</v>
      </c>
      <c r="M49" s="286">
        <f t="shared" si="5"/>
        <v>0</v>
      </c>
    </row>
    <row r="50" spans="4:13" ht="12.75">
      <c r="D50" s="181"/>
      <c r="H50" s="288">
        <f t="shared" si="6"/>
        <v>48</v>
      </c>
      <c r="I50" s="248">
        <f t="shared" si="7"/>
        <v>0</v>
      </c>
      <c r="J50" s="190">
        <f t="shared" si="8"/>
        <v>0</v>
      </c>
      <c r="K50" s="286">
        <f t="shared" si="9"/>
        <v>0</v>
      </c>
      <c r="L50" s="286">
        <f t="shared" si="10"/>
        <v>0</v>
      </c>
      <c r="M50" s="286">
        <f t="shared" si="5"/>
        <v>0</v>
      </c>
    </row>
    <row r="51" spans="4:13" ht="12.75">
      <c r="D51" s="181"/>
      <c r="H51" s="288">
        <f t="shared" si="6"/>
        <v>49</v>
      </c>
      <c r="I51" s="248">
        <f t="shared" si="7"/>
        <v>0</v>
      </c>
      <c r="J51" s="190">
        <f t="shared" si="8"/>
        <v>0</v>
      </c>
      <c r="K51" s="286">
        <f t="shared" si="9"/>
        <v>0</v>
      </c>
      <c r="L51" s="286">
        <f t="shared" si="10"/>
        <v>0</v>
      </c>
      <c r="M51" s="286">
        <f t="shared" si="5"/>
        <v>0</v>
      </c>
    </row>
    <row r="52" spans="4:13" ht="12.75">
      <c r="D52" s="181"/>
      <c r="H52" s="288">
        <f t="shared" si="6"/>
        <v>50</v>
      </c>
      <c r="I52" s="248">
        <f t="shared" si="7"/>
        <v>0</v>
      </c>
      <c r="J52" s="190">
        <f t="shared" si="8"/>
        <v>0</v>
      </c>
      <c r="K52" s="286">
        <f t="shared" si="9"/>
        <v>0</v>
      </c>
      <c r="L52" s="286">
        <f t="shared" si="10"/>
        <v>0</v>
      </c>
      <c r="M52" s="286">
        <f t="shared" si="5"/>
        <v>0</v>
      </c>
    </row>
    <row r="53" spans="4:13" ht="12.75">
      <c r="D53" s="181"/>
      <c r="H53" s="288">
        <f t="shared" si="6"/>
        <v>51</v>
      </c>
      <c r="I53" s="248">
        <f t="shared" si="7"/>
        <v>0</v>
      </c>
      <c r="J53" s="190">
        <f t="shared" si="8"/>
        <v>0</v>
      </c>
      <c r="K53" s="286">
        <f t="shared" si="9"/>
        <v>0</v>
      </c>
      <c r="L53" s="286">
        <f t="shared" si="10"/>
        <v>0</v>
      </c>
      <c r="M53" s="286">
        <f t="shared" si="5"/>
        <v>0</v>
      </c>
    </row>
    <row r="54" spans="4:13" ht="12.75">
      <c r="D54" s="181"/>
      <c r="H54" s="288">
        <f t="shared" si="6"/>
        <v>52</v>
      </c>
      <c r="I54" s="248">
        <f t="shared" si="7"/>
        <v>0</v>
      </c>
      <c r="J54" s="190">
        <f t="shared" si="8"/>
        <v>0</v>
      </c>
      <c r="K54" s="286">
        <f t="shared" si="9"/>
        <v>0</v>
      </c>
      <c r="L54" s="286">
        <f t="shared" si="10"/>
        <v>0</v>
      </c>
      <c r="M54" s="286">
        <f t="shared" si="5"/>
        <v>0</v>
      </c>
    </row>
    <row r="55" spans="4:13" ht="12.75">
      <c r="D55" s="181"/>
      <c r="H55" s="288">
        <f t="shared" si="6"/>
        <v>53</v>
      </c>
      <c r="I55" s="248">
        <f t="shared" si="7"/>
        <v>0</v>
      </c>
      <c r="J55" s="190">
        <f t="shared" si="8"/>
        <v>0</v>
      </c>
      <c r="K55" s="286">
        <f t="shared" si="9"/>
        <v>0</v>
      </c>
      <c r="L55" s="286">
        <f t="shared" si="10"/>
        <v>0</v>
      </c>
      <c r="M55" s="286">
        <f t="shared" si="5"/>
        <v>0</v>
      </c>
    </row>
    <row r="56" spans="4:13" ht="12.75">
      <c r="D56" s="181"/>
      <c r="H56" s="288">
        <f t="shared" si="6"/>
        <v>54</v>
      </c>
      <c r="I56" s="248">
        <f t="shared" si="7"/>
        <v>0</v>
      </c>
      <c r="J56" s="190">
        <f t="shared" si="8"/>
        <v>0</v>
      </c>
      <c r="K56" s="286">
        <f t="shared" si="9"/>
        <v>0</v>
      </c>
      <c r="L56" s="286">
        <f t="shared" si="10"/>
        <v>0</v>
      </c>
      <c r="M56" s="286">
        <f t="shared" si="5"/>
        <v>0</v>
      </c>
    </row>
    <row r="57" spans="4:13" ht="12.75">
      <c r="D57" s="181"/>
      <c r="H57" s="288">
        <f t="shared" si="6"/>
        <v>55</v>
      </c>
      <c r="I57" s="248">
        <f t="shared" si="7"/>
        <v>0</v>
      </c>
      <c r="J57" s="190">
        <f t="shared" si="8"/>
        <v>0</v>
      </c>
      <c r="K57" s="286">
        <f t="shared" si="9"/>
        <v>0</v>
      </c>
      <c r="L57" s="286">
        <f t="shared" si="10"/>
        <v>0</v>
      </c>
      <c r="M57" s="286">
        <f t="shared" si="5"/>
        <v>0</v>
      </c>
    </row>
    <row r="58" spans="4:13" ht="12.75">
      <c r="D58" s="181"/>
      <c r="H58" s="288">
        <f t="shared" si="6"/>
        <v>56</v>
      </c>
      <c r="I58" s="248">
        <f t="shared" si="7"/>
        <v>0</v>
      </c>
      <c r="J58" s="190">
        <f t="shared" si="8"/>
        <v>0</v>
      </c>
      <c r="K58" s="286">
        <f t="shared" si="9"/>
        <v>0</v>
      </c>
      <c r="L58" s="286">
        <f t="shared" si="10"/>
        <v>0</v>
      </c>
      <c r="M58" s="286">
        <f t="shared" si="5"/>
        <v>0</v>
      </c>
    </row>
    <row r="59" spans="4:13" ht="12.75">
      <c r="D59" s="181"/>
      <c r="H59" s="288">
        <f t="shared" si="6"/>
        <v>57</v>
      </c>
      <c r="I59" s="248">
        <f t="shared" si="7"/>
        <v>0</v>
      </c>
      <c r="J59" s="190">
        <f t="shared" si="8"/>
        <v>0</v>
      </c>
      <c r="K59" s="286">
        <f t="shared" si="9"/>
        <v>0</v>
      </c>
      <c r="L59" s="286">
        <f t="shared" si="10"/>
        <v>0</v>
      </c>
      <c r="M59" s="286">
        <f t="shared" si="5"/>
        <v>0</v>
      </c>
    </row>
    <row r="60" spans="4:13" ht="12.75">
      <c r="D60" s="181"/>
      <c r="H60" s="288">
        <f t="shared" si="6"/>
        <v>58</v>
      </c>
      <c r="I60" s="248">
        <f t="shared" si="7"/>
        <v>0</v>
      </c>
      <c r="J60" s="190">
        <f t="shared" si="8"/>
        <v>0</v>
      </c>
      <c r="K60" s="286">
        <f t="shared" si="9"/>
        <v>0</v>
      </c>
      <c r="L60" s="286">
        <f t="shared" si="10"/>
        <v>0</v>
      </c>
      <c r="M60" s="286">
        <f t="shared" si="5"/>
        <v>0</v>
      </c>
    </row>
    <row r="61" spans="4:13" ht="12.75">
      <c r="D61" s="181"/>
      <c r="H61" s="288">
        <f>1+H60</f>
        <v>59</v>
      </c>
      <c r="I61" s="248">
        <f>IF(H61&gt;$B$9,0,M60)</f>
        <v>0</v>
      </c>
      <c r="J61" s="190">
        <f>IF(K61=0,0,L61-K61)</f>
        <v>0</v>
      </c>
      <c r="K61" s="286">
        <f>IF(AND(H61&gt;$B$7,H61&lt;=$B$9),ROUND((($B$5+$B$6)/12)*I61,3),0)</f>
        <v>0</v>
      </c>
      <c r="L61" s="286">
        <f>IF(AND(H61&gt;$B$7,H61&lt;=$B$9),$B$11,0)</f>
        <v>0</v>
      </c>
      <c r="M61" s="286">
        <f t="shared" si="5"/>
        <v>0</v>
      </c>
    </row>
    <row r="62" spans="4:13" ht="12.75">
      <c r="D62" s="181"/>
      <c r="H62" s="289">
        <f>1+H61</f>
        <v>60</v>
      </c>
      <c r="I62" s="249">
        <f>IF(H62&gt;$B$9,0,M61)</f>
        <v>0</v>
      </c>
      <c r="J62" s="212">
        <f>IF(K62=0,0,L62-K62)</f>
        <v>0</v>
      </c>
      <c r="K62" s="287">
        <f>IF(AND(H62&gt;$B$7,H62&lt;=$B$9),ROUND((($B$5+$B$6)/12)*I62,3),0)</f>
        <v>0</v>
      </c>
      <c r="L62" s="287">
        <f>IF(AND(H62&gt;$B$7,H62&lt;=$B$9),$B$11,0)</f>
        <v>0</v>
      </c>
      <c r="M62" s="287">
        <f t="shared" si="5"/>
        <v>0</v>
      </c>
    </row>
    <row r="63" spans="4:13" ht="12.75">
      <c r="D63" s="181"/>
      <c r="H63" s="242"/>
      <c r="I63" s="243"/>
      <c r="J63" s="243"/>
      <c r="K63" s="243"/>
      <c r="L63" s="243"/>
      <c r="M63" s="243"/>
    </row>
    <row r="64" spans="4:13" ht="12.75">
      <c r="D64" s="181"/>
      <c r="H64" s="242"/>
      <c r="I64" s="243"/>
      <c r="J64" s="243"/>
      <c r="K64" s="243"/>
      <c r="L64" s="243"/>
      <c r="M64" s="243"/>
    </row>
    <row r="65" spans="4:13" ht="12.75">
      <c r="D65" s="181"/>
      <c r="H65" s="242"/>
      <c r="I65" s="243"/>
      <c r="J65" s="243"/>
      <c r="K65" s="243"/>
      <c r="L65" s="243"/>
      <c r="M65" s="243"/>
    </row>
    <row r="66" spans="4:13" ht="12.75">
      <c r="D66" s="181"/>
      <c r="H66" s="242"/>
      <c r="I66" s="243"/>
      <c r="J66" s="243"/>
      <c r="K66" s="243"/>
      <c r="L66" s="243"/>
      <c r="M66" s="243"/>
    </row>
    <row r="67" spans="4:13" ht="12.75">
      <c r="D67" s="181"/>
      <c r="H67" s="242"/>
      <c r="I67" s="243"/>
      <c r="J67" s="243"/>
      <c r="K67" s="243"/>
      <c r="L67" s="243"/>
      <c r="M67" s="243"/>
    </row>
    <row r="68" spans="4:13" ht="12.75">
      <c r="D68" s="181"/>
      <c r="H68" s="242"/>
      <c r="I68" s="243"/>
      <c r="J68" s="243"/>
      <c r="K68" s="243"/>
      <c r="L68" s="243"/>
      <c r="M68" s="243"/>
    </row>
    <row r="69" spans="4:13" ht="12.75">
      <c r="D69" s="181"/>
      <c r="H69" s="242"/>
      <c r="I69" s="243"/>
      <c r="J69" s="243"/>
      <c r="K69" s="243"/>
      <c r="L69" s="243"/>
      <c r="M69" s="243"/>
    </row>
    <row r="70" spans="4:13" ht="12.75">
      <c r="D70" s="181"/>
      <c r="H70" s="242"/>
      <c r="I70" s="243"/>
      <c r="J70" s="243"/>
      <c r="K70" s="243"/>
      <c r="L70" s="243"/>
      <c r="M70" s="243"/>
    </row>
    <row r="71" spans="4:13" ht="12.75">
      <c r="D71" s="181"/>
      <c r="H71" s="242"/>
      <c r="I71" s="243"/>
      <c r="J71" s="243"/>
      <c r="K71" s="243"/>
      <c r="L71" s="243"/>
      <c r="M71" s="243"/>
    </row>
    <row r="72" spans="4:13" ht="12.75">
      <c r="D72" s="181"/>
      <c r="H72" s="242"/>
      <c r="I72" s="243"/>
      <c r="J72" s="243"/>
      <c r="K72" s="243"/>
      <c r="L72" s="243"/>
      <c r="M72" s="243"/>
    </row>
    <row r="73" spans="4:13" ht="12.75">
      <c r="D73" s="181"/>
      <c r="H73" s="242"/>
      <c r="I73" s="243"/>
      <c r="J73" s="243"/>
      <c r="K73" s="243"/>
      <c r="L73" s="243"/>
      <c r="M73" s="243"/>
    </row>
    <row r="74" spans="4:13" ht="12.75">
      <c r="D74" s="181"/>
      <c r="H74" s="242"/>
      <c r="I74" s="243"/>
      <c r="J74" s="243"/>
      <c r="K74" s="243"/>
      <c r="L74" s="243"/>
      <c r="M74" s="243"/>
    </row>
    <row r="75" spans="4:13" ht="12.75">
      <c r="D75" s="181"/>
      <c r="H75" s="242"/>
      <c r="I75" s="243"/>
      <c r="J75" s="243"/>
      <c r="K75" s="243"/>
      <c r="L75" s="243"/>
      <c r="M75" s="243"/>
    </row>
    <row r="76" spans="4:13" ht="12.75">
      <c r="D76" s="181"/>
      <c r="H76" s="242"/>
      <c r="I76" s="243"/>
      <c r="J76" s="243"/>
      <c r="K76" s="243"/>
      <c r="L76" s="243"/>
      <c r="M76" s="243"/>
    </row>
    <row r="77" spans="4:13" ht="12.75">
      <c r="D77" s="181"/>
      <c r="H77" s="242"/>
      <c r="I77" s="243"/>
      <c r="J77" s="243"/>
      <c r="K77" s="243"/>
      <c r="L77" s="243"/>
      <c r="M77" s="243"/>
    </row>
    <row r="78" spans="4:13" ht="12.75">
      <c r="D78" s="181"/>
      <c r="H78" s="242"/>
      <c r="I78" s="243"/>
      <c r="J78" s="243"/>
      <c r="K78" s="243"/>
      <c r="L78" s="243"/>
      <c r="M78" s="243"/>
    </row>
    <row r="79" spans="4:13" ht="12.75">
      <c r="D79" s="181"/>
      <c r="H79" s="242"/>
      <c r="I79" s="243"/>
      <c r="J79" s="243"/>
      <c r="K79" s="243"/>
      <c r="L79" s="243"/>
      <c r="M79" s="243"/>
    </row>
    <row r="80" spans="4:13" ht="12.75">
      <c r="D80" s="181"/>
      <c r="H80" s="242"/>
      <c r="I80" s="243"/>
      <c r="J80" s="243"/>
      <c r="K80" s="243"/>
      <c r="L80" s="243"/>
      <c r="M80" s="243"/>
    </row>
    <row r="81" spans="4:13" ht="12.75">
      <c r="D81" s="181"/>
      <c r="H81" s="242"/>
      <c r="I81" s="243"/>
      <c r="J81" s="243"/>
      <c r="K81" s="243"/>
      <c r="L81" s="243"/>
      <c r="M81" s="243"/>
    </row>
    <row r="82" spans="4:13" ht="12.75">
      <c r="D82" s="181"/>
      <c r="H82" s="242"/>
      <c r="I82" s="243"/>
      <c r="J82" s="243"/>
      <c r="K82" s="243"/>
      <c r="L82" s="243"/>
      <c r="M82" s="243"/>
    </row>
    <row r="83" spans="4:13" ht="12.75">
      <c r="D83" s="181"/>
      <c r="H83" s="242"/>
      <c r="I83" s="243"/>
      <c r="J83" s="243"/>
      <c r="K83" s="243"/>
      <c r="L83" s="243"/>
      <c r="M83" s="243"/>
    </row>
    <row r="84" spans="4:13" ht="12.75">
      <c r="D84" s="181"/>
      <c r="H84" s="242"/>
      <c r="I84" s="243"/>
      <c r="J84" s="243"/>
      <c r="K84" s="243"/>
      <c r="L84" s="243"/>
      <c r="M84" s="243"/>
    </row>
    <row r="85" spans="4:13" ht="12.75">
      <c r="D85" s="181"/>
      <c r="H85" s="242"/>
      <c r="I85" s="243"/>
      <c r="J85" s="243"/>
      <c r="K85" s="243"/>
      <c r="L85" s="243"/>
      <c r="M85" s="243"/>
    </row>
    <row r="86" spans="4:13" ht="12.75">
      <c r="D86" s="181"/>
      <c r="H86" s="242"/>
      <c r="I86" s="243"/>
      <c r="J86" s="243"/>
      <c r="K86" s="243"/>
      <c r="L86" s="243"/>
      <c r="M86" s="243"/>
    </row>
    <row r="87" spans="4:13" ht="12.75">
      <c r="D87" s="181"/>
      <c r="H87" s="242"/>
      <c r="I87" s="243"/>
      <c r="J87" s="243"/>
      <c r="K87" s="243"/>
      <c r="L87" s="243"/>
      <c r="M87" s="243"/>
    </row>
    <row r="88" spans="4:13" ht="12.75">
      <c r="D88" s="181"/>
      <c r="H88" s="242"/>
      <c r="I88" s="243"/>
      <c r="J88" s="243"/>
      <c r="K88" s="243"/>
      <c r="L88" s="243"/>
      <c r="M88" s="243"/>
    </row>
    <row r="89" spans="4:13" ht="12.75">
      <c r="D89" s="181"/>
      <c r="H89" s="242"/>
      <c r="I89" s="243"/>
      <c r="J89" s="243"/>
      <c r="K89" s="243"/>
      <c r="L89" s="243"/>
      <c r="M89" s="243"/>
    </row>
    <row r="90" spans="4:13" ht="12.75">
      <c r="D90" s="181"/>
      <c r="H90" s="242"/>
      <c r="I90" s="243"/>
      <c r="J90" s="243"/>
      <c r="K90" s="243"/>
      <c r="L90" s="243"/>
      <c r="M90" s="243"/>
    </row>
    <row r="91" spans="4:13" ht="12.75">
      <c r="D91" s="181"/>
      <c r="H91" s="242"/>
      <c r="I91" s="243"/>
      <c r="J91" s="243"/>
      <c r="K91" s="243"/>
      <c r="L91" s="243"/>
      <c r="M91" s="243"/>
    </row>
    <row r="92" spans="4:13" ht="12.75">
      <c r="D92" s="181"/>
      <c r="H92" s="242"/>
      <c r="I92" s="243"/>
      <c r="J92" s="243"/>
      <c r="K92" s="243"/>
      <c r="L92" s="243"/>
      <c r="M92" s="243"/>
    </row>
    <row r="93" spans="4:13" ht="12.75">
      <c r="D93" s="181"/>
      <c r="H93" s="242"/>
      <c r="I93" s="243"/>
      <c r="J93" s="243"/>
      <c r="K93" s="243"/>
      <c r="L93" s="243"/>
      <c r="M93" s="243"/>
    </row>
    <row r="94" spans="4:13" ht="12.75">
      <c r="D94" s="181"/>
      <c r="H94" s="242"/>
      <c r="I94" s="243"/>
      <c r="J94" s="243"/>
      <c r="K94" s="243"/>
      <c r="L94" s="243"/>
      <c r="M94" s="243"/>
    </row>
    <row r="95" spans="4:13" ht="12.75">
      <c r="D95" s="181"/>
      <c r="H95" s="242"/>
      <c r="I95" s="243"/>
      <c r="J95" s="243"/>
      <c r="K95" s="243"/>
      <c r="L95" s="243"/>
      <c r="M95" s="243"/>
    </row>
    <row r="96" spans="4:13" ht="12.75">
      <c r="D96" s="181"/>
      <c r="H96" s="242"/>
      <c r="I96" s="243"/>
      <c r="J96" s="243"/>
      <c r="K96" s="243"/>
      <c r="L96" s="243"/>
      <c r="M96" s="243"/>
    </row>
    <row r="97" spans="4:13" ht="12.75">
      <c r="D97" s="181"/>
      <c r="H97" s="242"/>
      <c r="I97" s="243"/>
      <c r="J97" s="243"/>
      <c r="K97" s="243"/>
      <c r="L97" s="243"/>
      <c r="M97" s="243"/>
    </row>
    <row r="98" spans="4:13" ht="12.75">
      <c r="D98" s="181"/>
      <c r="H98" s="242"/>
      <c r="I98" s="243"/>
      <c r="J98" s="243"/>
      <c r="K98" s="243"/>
      <c r="L98" s="243"/>
      <c r="M98" s="243"/>
    </row>
    <row r="99" spans="4:13" ht="12.75">
      <c r="D99" s="181"/>
      <c r="H99" s="242"/>
      <c r="I99" s="243"/>
      <c r="J99" s="243"/>
      <c r="K99" s="243"/>
      <c r="L99" s="243"/>
      <c r="M99" s="243"/>
    </row>
    <row r="100" spans="4:13" ht="12.75">
      <c r="D100" s="181"/>
      <c r="H100" s="242"/>
      <c r="I100" s="243"/>
      <c r="J100" s="243"/>
      <c r="K100" s="243"/>
      <c r="L100" s="243"/>
      <c r="M100" s="243"/>
    </row>
    <row r="101" spans="4:13" ht="12.75">
      <c r="D101" s="181"/>
      <c r="H101" s="242"/>
      <c r="I101" s="243"/>
      <c r="J101" s="243"/>
      <c r="K101" s="243"/>
      <c r="L101" s="243"/>
      <c r="M101" s="243"/>
    </row>
    <row r="102" spans="4:13" ht="12.75">
      <c r="D102" s="181"/>
      <c r="H102" s="242"/>
      <c r="I102" s="243"/>
      <c r="J102" s="243"/>
      <c r="K102" s="243"/>
      <c r="L102" s="243"/>
      <c r="M102" s="243"/>
    </row>
    <row r="103" spans="4:13" ht="12.75">
      <c r="D103" s="181"/>
      <c r="H103" s="242"/>
      <c r="I103" s="243"/>
      <c r="J103" s="243"/>
      <c r="K103" s="243"/>
      <c r="L103" s="243"/>
      <c r="M103" s="243"/>
    </row>
    <row r="104" spans="4:13" ht="12.75">
      <c r="D104" s="181"/>
      <c r="H104" s="242"/>
      <c r="I104" s="243"/>
      <c r="J104" s="243"/>
      <c r="K104" s="243"/>
      <c r="L104" s="243"/>
      <c r="M104" s="243"/>
    </row>
    <row r="105" spans="4:13" ht="12.75">
      <c r="D105" s="181"/>
      <c r="H105" s="242"/>
      <c r="I105" s="243"/>
      <c r="J105" s="243"/>
      <c r="K105" s="243"/>
      <c r="L105" s="243"/>
      <c r="M105" s="243"/>
    </row>
    <row r="106" spans="4:13" ht="12.75">
      <c r="D106" s="181"/>
      <c r="H106" s="242"/>
      <c r="I106" s="243"/>
      <c r="J106" s="243"/>
      <c r="K106" s="243"/>
      <c r="L106" s="243"/>
      <c r="M106" s="243"/>
    </row>
    <row r="107" spans="4:13" ht="12.75">
      <c r="D107" s="181"/>
      <c r="H107" s="242"/>
      <c r="I107" s="243"/>
      <c r="J107" s="243"/>
      <c r="K107" s="243"/>
      <c r="L107" s="243"/>
      <c r="M107" s="243"/>
    </row>
    <row r="108" spans="4:13" ht="12.75">
      <c r="D108" s="181"/>
      <c r="H108" s="242"/>
      <c r="I108" s="243"/>
      <c r="J108" s="243"/>
      <c r="K108" s="243"/>
      <c r="L108" s="243"/>
      <c r="M108" s="243"/>
    </row>
    <row r="109" spans="4:13" ht="12.75">
      <c r="D109" s="181"/>
      <c r="H109" s="242"/>
      <c r="I109" s="243"/>
      <c r="J109" s="243"/>
      <c r="K109" s="243"/>
      <c r="L109" s="243"/>
      <c r="M109" s="243"/>
    </row>
    <row r="110" spans="4:13" ht="12.75">
      <c r="D110" s="181"/>
      <c r="H110" s="242"/>
      <c r="I110" s="243"/>
      <c r="J110" s="243"/>
      <c r="K110" s="243"/>
      <c r="L110" s="243"/>
      <c r="M110" s="243"/>
    </row>
    <row r="111" spans="4:13" ht="12.75">
      <c r="D111" s="181"/>
      <c r="H111" s="242"/>
      <c r="I111" s="243"/>
      <c r="J111" s="243"/>
      <c r="K111" s="243"/>
      <c r="L111" s="243"/>
      <c r="M111" s="243"/>
    </row>
    <row r="112" spans="4:13" ht="12.75">
      <c r="D112" s="181"/>
      <c r="H112" s="242"/>
      <c r="I112" s="243"/>
      <c r="J112" s="243"/>
      <c r="K112" s="243"/>
      <c r="L112" s="243"/>
      <c r="M112" s="243"/>
    </row>
    <row r="113" spans="4:13" ht="12.75">
      <c r="D113" s="181"/>
      <c r="H113" s="242"/>
      <c r="I113" s="243"/>
      <c r="J113" s="243"/>
      <c r="K113" s="243"/>
      <c r="L113" s="243"/>
      <c r="M113" s="243"/>
    </row>
    <row r="114" spans="4:13" ht="12.75">
      <c r="D114" s="181"/>
      <c r="H114" s="242"/>
      <c r="I114" s="243"/>
      <c r="J114" s="243"/>
      <c r="K114" s="243"/>
      <c r="L114" s="243"/>
      <c r="M114" s="243"/>
    </row>
    <row r="115" spans="4:13" ht="12.75">
      <c r="D115" s="181"/>
      <c r="H115" s="242"/>
      <c r="I115" s="243"/>
      <c r="J115" s="243"/>
      <c r="K115" s="243"/>
      <c r="L115" s="243"/>
      <c r="M115" s="243"/>
    </row>
    <row r="116" spans="4:13" ht="12.75">
      <c r="D116" s="181"/>
      <c r="H116" s="242"/>
      <c r="I116" s="243"/>
      <c r="J116" s="243"/>
      <c r="K116" s="243"/>
      <c r="L116" s="243"/>
      <c r="M116" s="243"/>
    </row>
    <row r="117" spans="4:13" ht="12.75">
      <c r="D117" s="181"/>
      <c r="H117" s="242"/>
      <c r="I117" s="243"/>
      <c r="J117" s="243"/>
      <c r="K117" s="243"/>
      <c r="L117" s="243"/>
      <c r="M117" s="243"/>
    </row>
    <row r="118" spans="4:13" ht="12.75">
      <c r="D118" s="181"/>
      <c r="H118" s="242"/>
      <c r="I118" s="243"/>
      <c r="J118" s="243"/>
      <c r="K118" s="243"/>
      <c r="L118" s="243"/>
      <c r="M118" s="243"/>
    </row>
    <row r="119" spans="4:13" ht="12.75">
      <c r="D119" s="181"/>
      <c r="H119" s="242"/>
      <c r="I119" s="243"/>
      <c r="J119" s="243"/>
      <c r="K119" s="243"/>
      <c r="L119" s="243"/>
      <c r="M119" s="243"/>
    </row>
    <row r="120" spans="4:13" ht="12.75">
      <c r="D120" s="181"/>
      <c r="H120" s="242"/>
      <c r="I120" s="243"/>
      <c r="J120" s="243"/>
      <c r="K120" s="243"/>
      <c r="L120" s="243"/>
      <c r="M120" s="243"/>
    </row>
    <row r="121" spans="4:13" ht="12.75">
      <c r="D121" s="181"/>
      <c r="H121" s="242"/>
      <c r="I121" s="243"/>
      <c r="J121" s="243"/>
      <c r="K121" s="243"/>
      <c r="L121" s="243"/>
      <c r="M121" s="243"/>
    </row>
    <row r="122" spans="4:13" ht="12.75">
      <c r="D122" s="181"/>
      <c r="H122" s="242"/>
      <c r="I122" s="243"/>
      <c r="J122" s="243"/>
      <c r="K122" s="243"/>
      <c r="L122" s="243"/>
      <c r="M122" s="243"/>
    </row>
    <row r="123" ht="12.75">
      <c r="D123" s="181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 DE L'OISE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BVSCBN</dc:creator>
  <cp:keywords/>
  <dc:description/>
  <cp:lastModifiedBy>LE ROUX, Céline</cp:lastModifiedBy>
  <cp:lastPrinted>2019-03-27T09:57:49Z</cp:lastPrinted>
  <dcterms:created xsi:type="dcterms:W3CDTF">2001-08-29T07:59:40Z</dcterms:created>
  <dcterms:modified xsi:type="dcterms:W3CDTF">2019-11-19T15:11:11Z</dcterms:modified>
  <cp:category/>
  <cp:version/>
  <cp:contentType/>
  <cp:contentStatus/>
</cp:coreProperties>
</file>